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omments2.xml" ContentType="application/vnd.openxmlformats-officedocument.spreadsheetml.comments+xml"/>
  <Override PartName="/xl/drawings/drawing8.xml" ContentType="application/vnd.openxmlformats-officedocument.drawing+xml"/>
  <Override PartName="/xl/charts/chart13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prysmiangroup.sharepoint.com/sites/intranet/latam/COEC/QSHE/Sistema de Gestion/02. CONTROL DE PROCESOS/Gestión  Ambiental/Programa Energía/Eficiencia energetica/2022/"/>
    </mc:Choice>
  </mc:AlternateContent>
  <xr:revisionPtr revIDLastSave="995" documentId="13_ncr:1_{70FA36F3-E3D1-4CEE-8301-7F45B2C0FC8F}" xr6:coauthVersionLast="47" xr6:coauthVersionMax="47" xr10:uidLastSave="{CDF006BB-4EF5-4343-A040-018B0DFA1DA4}"/>
  <bookViews>
    <workbookView xWindow="-120" yWindow="-120" windowWidth="20730" windowHeight="11160" tabRatio="886" firstSheet="3" activeTab="10" xr2:uid="{00000000-000D-0000-FFFF-FFFF00000000}"/>
  </bookViews>
  <sheets>
    <sheet name="INICIO" sheetId="39" r:id="rId1"/>
    <sheet name="IDENTIFICACIÓN" sheetId="43" state="hidden" r:id="rId2"/>
    <sheet name="PROCESOS PRODUCTIVOS" sheetId="38" r:id="rId3"/>
    <sheet name="CONSUMOS Y PRODUCCIÓN" sheetId="27" r:id="rId4"/>
    <sheet name="MATRIZ ENERGÉTICA" sheetId="28" r:id="rId5"/>
    <sheet name="Analisis Energeticos" sheetId="7" state="hidden" r:id="rId6"/>
    <sheet name="LINEA BASE " sheetId="47" r:id="rId7"/>
    <sheet name="INDICADORES E" sheetId="31" r:id="rId8"/>
    <sheet name="INVENTARIO ELÉCTRICO" sheetId="1" r:id="rId9"/>
    <sheet name="PARETO" sheetId="42" r:id="rId10"/>
    <sheet name="INVENTARIO TÉRMICO" sheetId="44" r:id="rId11"/>
    <sheet name="INVENTARIO VEHÍCULOS" sheetId="33" state="hidden" r:id="rId12"/>
  </sheets>
  <externalReferences>
    <externalReference r:id="rId13"/>
    <externalReference r:id="rId14"/>
    <externalReference r:id="rId15"/>
    <externalReference r:id="rId16"/>
  </externalReferences>
  <definedNames>
    <definedName name="_xlnm._FilterDatabase" localSheetId="8" hidden="1">'INVENTARIO ELÉCTRICO'!$A$4:$I$4</definedName>
    <definedName name="_xlnm._FilterDatabase" localSheetId="9" hidden="1">PARETO!$A$7:$E$18</definedName>
    <definedName name="Electrico" localSheetId="9">[1]Listas!$B$5:$B$11</definedName>
    <definedName name="Electrico">#REF!</definedName>
    <definedName name="MEDIDO">[2]Listas!$E$31:$E$32</definedName>
    <definedName name="Termico" localSheetId="9">[1]Listas!$D$5:$D$8</definedName>
    <definedName name="Termico">#REF!</definedName>
    <definedName name="USOFINAL" localSheetId="9">[2]Listas!$B$39:$B$47</definedName>
    <definedName name="USOFINAL">[3]Listas!$B$39:$B$47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42" l="1"/>
  <c r="F11" i="42" s="1"/>
  <c r="F12" i="42" s="1"/>
  <c r="F13" i="42" s="1"/>
  <c r="F14" i="42" s="1"/>
  <c r="F15" i="42" s="1"/>
  <c r="F16" i="42" s="1"/>
  <c r="F17" i="42" s="1"/>
  <c r="F18" i="42" s="1"/>
  <c r="F9" i="42"/>
  <c r="F8" i="42"/>
  <c r="F29" i="27"/>
  <c r="B5" i="28" l="1"/>
  <c r="B6" i="28"/>
  <c r="B7" i="28"/>
  <c r="B8" i="28"/>
  <c r="B9" i="28"/>
  <c r="B10" i="28"/>
  <c r="B11" i="28"/>
  <c r="B12" i="28"/>
  <c r="B13" i="28"/>
  <c r="B14" i="28"/>
  <c r="B15" i="28"/>
  <c r="B4" i="28"/>
  <c r="F5" i="27"/>
  <c r="F6" i="27"/>
  <c r="F7" i="27"/>
  <c r="F8" i="27"/>
  <c r="F9" i="27"/>
  <c r="F10" i="27"/>
  <c r="F11" i="27"/>
  <c r="F12" i="27"/>
  <c r="F13" i="27"/>
  <c r="F14" i="27"/>
  <c r="F15" i="27"/>
  <c r="F4" i="27"/>
  <c r="G15" i="27"/>
  <c r="G14" i="27"/>
  <c r="G13" i="27"/>
  <c r="G12" i="27"/>
  <c r="G11" i="27"/>
  <c r="G10" i="27"/>
  <c r="G9" i="27"/>
  <c r="G8" i="27"/>
  <c r="G7" i="27"/>
  <c r="G6" i="27"/>
  <c r="G5" i="27"/>
  <c r="G4" i="27"/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I23" i="1" s="1"/>
  <c r="H24" i="1"/>
  <c r="H25" i="1"/>
  <c r="H26" i="1"/>
  <c r="H27" i="1"/>
  <c r="I27" i="1" s="1"/>
  <c r="H28" i="1"/>
  <c r="H29" i="1"/>
  <c r="H30" i="1"/>
  <c r="H31" i="1"/>
  <c r="I31" i="1" s="1"/>
  <c r="H32" i="1"/>
  <c r="H33" i="1"/>
  <c r="H34" i="1"/>
  <c r="H35" i="1"/>
  <c r="I35" i="1" s="1"/>
  <c r="H36" i="1"/>
  <c r="H37" i="1"/>
  <c r="H38" i="1"/>
  <c r="H39" i="1"/>
  <c r="I39" i="1" s="1"/>
  <c r="H40" i="1"/>
  <c r="H41" i="1"/>
  <c r="H42" i="1"/>
  <c r="H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I20" i="1" s="1"/>
  <c r="G21" i="1"/>
  <c r="I21" i="1" s="1"/>
  <c r="G22" i="1"/>
  <c r="I22" i="1" s="1"/>
  <c r="G23" i="1"/>
  <c r="G24" i="1"/>
  <c r="I24" i="1" s="1"/>
  <c r="G25" i="1"/>
  <c r="I25" i="1" s="1"/>
  <c r="G26" i="1"/>
  <c r="I26" i="1" s="1"/>
  <c r="G27" i="1"/>
  <c r="G28" i="1"/>
  <c r="I28" i="1" s="1"/>
  <c r="G29" i="1"/>
  <c r="I29" i="1" s="1"/>
  <c r="G30" i="1"/>
  <c r="I30" i="1" s="1"/>
  <c r="G31" i="1"/>
  <c r="G32" i="1"/>
  <c r="I32" i="1" s="1"/>
  <c r="G33" i="1"/>
  <c r="I33" i="1" s="1"/>
  <c r="G34" i="1"/>
  <c r="I34" i="1" s="1"/>
  <c r="G35" i="1"/>
  <c r="G36" i="1"/>
  <c r="I36" i="1" s="1"/>
  <c r="G37" i="1"/>
  <c r="I37" i="1" s="1"/>
  <c r="G38" i="1"/>
  <c r="I38" i="1" s="1"/>
  <c r="G39" i="1"/>
  <c r="G40" i="1"/>
  <c r="I40" i="1" s="1"/>
  <c r="G41" i="1"/>
  <c r="I41" i="1" s="1"/>
  <c r="G42" i="1"/>
  <c r="I42" i="1" s="1"/>
  <c r="G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2" i="1"/>
  <c r="Q7" i="31"/>
  <c r="R7" i="31"/>
  <c r="Q8" i="31"/>
  <c r="R8" i="31"/>
  <c r="Q9" i="31"/>
  <c r="R9" i="31"/>
  <c r="R10" i="31"/>
  <c r="Q11" i="31"/>
  <c r="R11" i="31"/>
  <c r="Q12" i="31"/>
  <c r="R13" i="31"/>
  <c r="R14" i="31"/>
  <c r="R15" i="31"/>
  <c r="Q16" i="31"/>
  <c r="R16" i="31"/>
  <c r="Q17" i="31"/>
  <c r="R17" i="31"/>
  <c r="R6" i="31"/>
  <c r="Q6" i="31"/>
  <c r="N7" i="31"/>
  <c r="N8" i="31"/>
  <c r="N9" i="31"/>
  <c r="N10" i="31"/>
  <c r="N11" i="31"/>
  <c r="N12" i="31"/>
  <c r="N13" i="31"/>
  <c r="N14" i="31"/>
  <c r="N15" i="31"/>
  <c r="N16" i="31"/>
  <c r="N17" i="31"/>
  <c r="N6" i="31"/>
  <c r="M7" i="31"/>
  <c r="M8" i="31"/>
  <c r="M9" i="31"/>
  <c r="M10" i="31"/>
  <c r="M11" i="31"/>
  <c r="M12" i="31"/>
  <c r="M13" i="31"/>
  <c r="M14" i="31"/>
  <c r="M15" i="31"/>
  <c r="M16" i="31"/>
  <c r="M17" i="31"/>
  <c r="M6" i="31"/>
  <c r="I7" i="31"/>
  <c r="J7" i="31"/>
  <c r="I8" i="31"/>
  <c r="J8" i="31"/>
  <c r="I9" i="31"/>
  <c r="J9" i="31"/>
  <c r="I10" i="31"/>
  <c r="J10" i="31"/>
  <c r="I11" i="31"/>
  <c r="J11" i="31"/>
  <c r="I12" i="31"/>
  <c r="J12" i="31"/>
  <c r="I13" i="31"/>
  <c r="J13" i="31"/>
  <c r="I14" i="31"/>
  <c r="J14" i="31"/>
  <c r="I15" i="31"/>
  <c r="J15" i="31"/>
  <c r="I16" i="31"/>
  <c r="J16" i="31"/>
  <c r="I17" i="31"/>
  <c r="J17" i="31"/>
  <c r="J6" i="31"/>
  <c r="I6" i="31"/>
  <c r="F7" i="31"/>
  <c r="F8" i="31"/>
  <c r="F9" i="31"/>
  <c r="F10" i="31"/>
  <c r="F11" i="31"/>
  <c r="F12" i="31"/>
  <c r="F13" i="31"/>
  <c r="F14" i="31"/>
  <c r="F15" i="31"/>
  <c r="F16" i="31"/>
  <c r="F17" i="31"/>
  <c r="F6" i="31"/>
  <c r="E7" i="31"/>
  <c r="E8" i="31"/>
  <c r="E9" i="31"/>
  <c r="E10" i="31"/>
  <c r="E11" i="31"/>
  <c r="E12" i="31"/>
  <c r="E13" i="31"/>
  <c r="E14" i="31"/>
  <c r="E15" i="31"/>
  <c r="E16" i="31"/>
  <c r="E17" i="31"/>
  <c r="E6" i="31"/>
  <c r="B38" i="28"/>
  <c r="B29" i="28"/>
  <c r="B28" i="28"/>
  <c r="A29" i="28"/>
  <c r="A28" i="28"/>
  <c r="D18" i="28"/>
  <c r="E18" i="28"/>
  <c r="D19" i="28"/>
  <c r="E19" i="28"/>
  <c r="D20" i="28"/>
  <c r="E20" i="28"/>
  <c r="D21" i="28"/>
  <c r="E21" i="28"/>
  <c r="E5" i="28"/>
  <c r="E6" i="28"/>
  <c r="E7" i="28"/>
  <c r="E8" i="28"/>
  <c r="E9" i="28"/>
  <c r="E10" i="28"/>
  <c r="E11" i="28"/>
  <c r="E12" i="28"/>
  <c r="E13" i="28"/>
  <c r="E14" i="28"/>
  <c r="E15" i="28"/>
  <c r="E4" i="28"/>
  <c r="C5" i="28"/>
  <c r="C6" i="28"/>
  <c r="C7" i="28"/>
  <c r="C8" i="28"/>
  <c r="C9" i="28"/>
  <c r="C10" i="28"/>
  <c r="C11" i="28"/>
  <c r="C12" i="28"/>
  <c r="C13" i="28"/>
  <c r="C14" i="28"/>
  <c r="C15" i="28"/>
  <c r="D5" i="28"/>
  <c r="D6" i="28"/>
  <c r="D7" i="28"/>
  <c r="D8" i="28"/>
  <c r="D9" i="28"/>
  <c r="D10" i="28"/>
  <c r="D11" i="28"/>
  <c r="D12" i="28"/>
  <c r="D13" i="28"/>
  <c r="D14" i="28"/>
  <c r="D15" i="28"/>
  <c r="D4" i="28"/>
  <c r="G146" i="27"/>
  <c r="H146" i="27"/>
  <c r="I146" i="27"/>
  <c r="G147" i="27"/>
  <c r="H147" i="27"/>
  <c r="I147" i="27"/>
  <c r="G148" i="27"/>
  <c r="H148" i="27"/>
  <c r="I148" i="27"/>
  <c r="G149" i="27"/>
  <c r="H149" i="27"/>
  <c r="I149" i="27"/>
  <c r="F149" i="27"/>
  <c r="F148" i="27"/>
  <c r="F147" i="27"/>
  <c r="F146" i="27"/>
  <c r="D84" i="27"/>
  <c r="E84" i="27"/>
  <c r="F84" i="27"/>
  <c r="D85" i="27"/>
  <c r="E85" i="27"/>
  <c r="F85" i="27"/>
  <c r="D86" i="27"/>
  <c r="E86" i="27"/>
  <c r="F86" i="27"/>
  <c r="D87" i="27"/>
  <c r="E87" i="27"/>
  <c r="F87" i="27"/>
  <c r="I132" i="27"/>
  <c r="I133" i="27"/>
  <c r="I134" i="27"/>
  <c r="I135" i="27"/>
  <c r="I136" i="27"/>
  <c r="I137" i="27"/>
  <c r="I138" i="27"/>
  <c r="I139" i="27"/>
  <c r="I140" i="27"/>
  <c r="I141" i="27"/>
  <c r="I142" i="27"/>
  <c r="I131" i="27"/>
  <c r="H132" i="27"/>
  <c r="H133" i="27"/>
  <c r="H134" i="27"/>
  <c r="H135" i="27"/>
  <c r="H136" i="27"/>
  <c r="H137" i="27"/>
  <c r="H138" i="27"/>
  <c r="H139" i="27"/>
  <c r="H140" i="27"/>
  <c r="H141" i="27"/>
  <c r="H142" i="27"/>
  <c r="H131" i="27"/>
  <c r="F39" i="27"/>
  <c r="D7" i="31" s="1"/>
  <c r="F40" i="27"/>
  <c r="D8" i="31" s="1"/>
  <c r="F41" i="27"/>
  <c r="D9" i="31" s="1"/>
  <c r="F42" i="27"/>
  <c r="D10" i="31" s="1"/>
  <c r="F43" i="27"/>
  <c r="D11" i="31" s="1"/>
  <c r="F44" i="27"/>
  <c r="D12" i="31" s="1"/>
  <c r="F45" i="27"/>
  <c r="D13" i="31" s="1"/>
  <c r="F46" i="27"/>
  <c r="D14" i="31" s="1"/>
  <c r="F47" i="27"/>
  <c r="D15" i="31" s="1"/>
  <c r="F48" i="27"/>
  <c r="D16" i="31" s="1"/>
  <c r="F49" i="27"/>
  <c r="D17" i="31" s="1"/>
  <c r="F38" i="27"/>
  <c r="D6" i="31" s="1"/>
  <c r="I19" i="1" l="1"/>
  <c r="I2" i="1"/>
  <c r="I49" i="27"/>
  <c r="H49" i="27"/>
  <c r="H38" i="27"/>
  <c r="H39" i="27"/>
  <c r="H40" i="27"/>
  <c r="H41" i="27"/>
  <c r="H42" i="27"/>
  <c r="H43" i="27"/>
  <c r="H44" i="27"/>
  <c r="H45" i="27"/>
  <c r="H46" i="27"/>
  <c r="H47" i="27"/>
  <c r="H48" i="27"/>
  <c r="I38" i="27"/>
  <c r="I39" i="27"/>
  <c r="I40" i="27"/>
  <c r="I41" i="27"/>
  <c r="I42" i="27"/>
  <c r="I43" i="27"/>
  <c r="I44" i="27"/>
  <c r="I45" i="27"/>
  <c r="I46" i="27"/>
  <c r="I47" i="27"/>
  <c r="I48" i="27"/>
  <c r="K6" i="27" l="1"/>
  <c r="K10" i="27"/>
  <c r="J13" i="27"/>
  <c r="J4" i="27"/>
  <c r="L13" i="31"/>
  <c r="L17" i="31"/>
  <c r="L16" i="31"/>
  <c r="L12" i="31"/>
  <c r="L8" i="31"/>
  <c r="L15" i="31"/>
  <c r="L11" i="31"/>
  <c r="L7" i="31"/>
  <c r="L14" i="31"/>
  <c r="L10" i="31"/>
  <c r="C4" i="28"/>
  <c r="L6" i="31"/>
  <c r="L9" i="31"/>
  <c r="K13" i="27"/>
  <c r="K15" i="27"/>
  <c r="K7" i="27"/>
  <c r="J15" i="27"/>
  <c r="K8" i="27"/>
  <c r="J12" i="27"/>
  <c r="J9" i="27"/>
  <c r="J6" i="27"/>
  <c r="K14" i="27"/>
  <c r="K11" i="27"/>
  <c r="J10" i="27"/>
  <c r="K5" i="27"/>
  <c r="J14" i="27"/>
  <c r="K12" i="27"/>
  <c r="J11" i="27"/>
  <c r="K9" i="27"/>
  <c r="J8" i="27"/>
  <c r="J7" i="27"/>
  <c r="J5" i="27"/>
  <c r="K4" i="27"/>
  <c r="B40" i="31"/>
  <c r="C146" i="27" l="1"/>
  <c r="C9" i="47" l="1"/>
  <c r="C10" i="47"/>
  <c r="C11" i="47"/>
  <c r="C12" i="47"/>
  <c r="B5" i="47"/>
  <c r="B6" i="47"/>
  <c r="B7" i="47"/>
  <c r="B8" i="47"/>
  <c r="B9" i="47"/>
  <c r="B10" i="47"/>
  <c r="B11" i="47"/>
  <c r="B12" i="47"/>
  <c r="B13" i="47"/>
  <c r="B14" i="47"/>
  <c r="B15" i="47"/>
  <c r="C5" i="47"/>
  <c r="C6" i="47"/>
  <c r="C7" i="47"/>
  <c r="C8" i="47"/>
  <c r="C13" i="47"/>
  <c r="C14" i="47"/>
  <c r="C15" i="47"/>
  <c r="B6" i="31" l="1"/>
  <c r="H6" i="31" s="1"/>
  <c r="C6" i="31"/>
  <c r="G6" i="3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H15" i="47" l="1"/>
  <c r="G15" i="47"/>
  <c r="A15" i="47"/>
  <c r="G14" i="47"/>
  <c r="A14" i="47"/>
  <c r="H13" i="47"/>
  <c r="J13" i="47" s="1"/>
  <c r="G13" i="47"/>
  <c r="I13" i="47" s="1"/>
  <c r="A13" i="47"/>
  <c r="G12" i="47"/>
  <c r="I12" i="47" s="1"/>
  <c r="A12" i="47"/>
  <c r="H11" i="47"/>
  <c r="G11" i="47"/>
  <c r="A11" i="47"/>
  <c r="G10" i="47"/>
  <c r="I10" i="47" s="1"/>
  <c r="A10" i="47"/>
  <c r="H9" i="47"/>
  <c r="J9" i="47" s="1"/>
  <c r="G9" i="47"/>
  <c r="I9" i="47" s="1"/>
  <c r="A9" i="47"/>
  <c r="G8" i="47"/>
  <c r="I8" i="47" s="1"/>
  <c r="A8" i="47"/>
  <c r="G7" i="47"/>
  <c r="A7" i="47"/>
  <c r="G6" i="47"/>
  <c r="I6" i="47" s="1"/>
  <c r="A6" i="47"/>
  <c r="A5" i="47"/>
  <c r="C4" i="47"/>
  <c r="B4" i="47"/>
  <c r="A4" i="47"/>
  <c r="C3" i="47"/>
  <c r="H3" i="47" s="1"/>
  <c r="B3" i="47"/>
  <c r="E64" i="27"/>
  <c r="E65" i="27"/>
  <c r="E66" i="27"/>
  <c r="E67" i="27"/>
  <c r="E68" i="27"/>
  <c r="E69" i="27"/>
  <c r="E70" i="27"/>
  <c r="E71" i="27"/>
  <c r="E72" i="27"/>
  <c r="E73" i="27"/>
  <c r="E74" i="27"/>
  <c r="E63" i="27"/>
  <c r="G3" i="47" l="1"/>
  <c r="Z4" i="47"/>
  <c r="F39" i="47"/>
  <c r="F38" i="47"/>
  <c r="F37" i="47"/>
  <c r="D3" i="47"/>
  <c r="I3" i="47"/>
  <c r="B31" i="47"/>
  <c r="C31" i="47"/>
  <c r="C33" i="47"/>
  <c r="G5" i="47"/>
  <c r="G4" i="47"/>
  <c r="E3" i="47"/>
  <c r="J3" i="47"/>
  <c r="H4" i="47"/>
  <c r="H5" i="47"/>
  <c r="H6" i="47"/>
  <c r="J6" i="47" s="1"/>
  <c r="H7" i="47"/>
  <c r="H8" i="47"/>
  <c r="J8" i="47" s="1"/>
  <c r="H10" i="47"/>
  <c r="J10" i="47" s="1"/>
  <c r="H12" i="47"/>
  <c r="J12" i="47" s="1"/>
  <c r="H14" i="47"/>
  <c r="B30" i="47"/>
  <c r="B32" i="47"/>
  <c r="Y4" i="47" s="1"/>
  <c r="B33" i="47"/>
  <c r="C30" i="47"/>
  <c r="C32" i="47"/>
  <c r="D4" i="47" l="1"/>
  <c r="E4" i="47" s="1"/>
  <c r="Y5" i="47"/>
  <c r="D13" i="47"/>
  <c r="D11" i="47"/>
  <c r="D7" i="47"/>
  <c r="D12" i="47"/>
  <c r="D14" i="47"/>
  <c r="D15" i="47"/>
  <c r="D8" i="47"/>
  <c r="D10" i="47"/>
  <c r="D6" i="47"/>
  <c r="D5" i="47"/>
  <c r="D9" i="47"/>
  <c r="C149" i="27"/>
  <c r="C148" i="27"/>
  <c r="C147" i="27"/>
  <c r="E5" i="47" l="1"/>
  <c r="D33" i="47"/>
  <c r="E11" i="47"/>
  <c r="E10" i="47"/>
  <c r="E7" i="47"/>
  <c r="E6" i="47"/>
  <c r="E15" i="47"/>
  <c r="E13" i="47"/>
  <c r="D32" i="47"/>
  <c r="E9" i="47"/>
  <c r="E14" i="47"/>
  <c r="E12" i="47"/>
  <c r="E8" i="47"/>
  <c r="D31" i="47"/>
  <c r="D30" i="47"/>
  <c r="K126" i="27"/>
  <c r="H57" i="27"/>
  <c r="K32" i="27"/>
  <c r="B35" i="28" s="1"/>
  <c r="E33" i="47" l="1"/>
  <c r="F4" i="47" s="1"/>
  <c r="E32" i="47"/>
  <c r="E31" i="47"/>
  <c r="E30" i="47"/>
  <c r="F9" i="47" l="1"/>
  <c r="F7" i="47"/>
  <c r="F15" i="47"/>
  <c r="F5" i="47"/>
  <c r="F11" i="47"/>
  <c r="F14" i="47"/>
  <c r="F8" i="47"/>
  <c r="F12" i="47"/>
  <c r="F10" i="47"/>
  <c r="F6" i="47"/>
  <c r="F13" i="47"/>
  <c r="B5" i="31" l="1"/>
  <c r="J106" i="27" l="1"/>
  <c r="J104" i="27"/>
  <c r="J99" i="27"/>
  <c r="J100" i="27"/>
  <c r="J101" i="27"/>
  <c r="J102" i="27"/>
  <c r="J103" i="27"/>
  <c r="J105" i="27"/>
  <c r="J107" i="27"/>
  <c r="J108" i="27"/>
  <c r="J109" i="27"/>
  <c r="J98" i="27"/>
  <c r="M115" i="27" l="1"/>
  <c r="G80" i="27"/>
  <c r="B3" i="28" l="1"/>
  <c r="A26" i="28" s="1"/>
  <c r="B37" i="31"/>
  <c r="B41" i="31"/>
  <c r="B39" i="31"/>
  <c r="B38" i="31"/>
  <c r="K6" i="31" l="1"/>
  <c r="K7" i="31"/>
  <c r="K8" i="31"/>
  <c r="K9" i="31"/>
  <c r="K10" i="31"/>
  <c r="K11" i="31"/>
  <c r="K12" i="31"/>
  <c r="K13" i="31"/>
  <c r="K14" i="31"/>
  <c r="K15" i="31"/>
  <c r="K16" i="31"/>
  <c r="K17" i="31"/>
  <c r="K5" i="31"/>
  <c r="K3" i="31"/>
  <c r="B3" i="31"/>
  <c r="L5" i="31"/>
  <c r="L3" i="31"/>
  <c r="O6" i="31" l="1"/>
  <c r="K31" i="31"/>
  <c r="K33" i="31"/>
  <c r="K32" i="31"/>
  <c r="D5" i="31" l="1"/>
  <c r="D3" i="31"/>
  <c r="H4" i="31" s="1"/>
  <c r="C3" i="31"/>
  <c r="G4" i="31" s="1"/>
  <c r="O4" i="31" s="1"/>
  <c r="C7" i="31"/>
  <c r="C8" i="31"/>
  <c r="C9" i="31"/>
  <c r="C10" i="31"/>
  <c r="C11" i="31"/>
  <c r="C12" i="31"/>
  <c r="C13" i="31"/>
  <c r="C14" i="31"/>
  <c r="C15" i="31"/>
  <c r="C16" i="31"/>
  <c r="C17" i="31"/>
  <c r="C5" i="31"/>
  <c r="D32" i="31" l="1"/>
  <c r="D31" i="31"/>
  <c r="D33" i="31"/>
  <c r="C31" i="31"/>
  <c r="C33" i="31"/>
  <c r="C32" i="31"/>
  <c r="A6" i="31"/>
  <c r="A7" i="31"/>
  <c r="A8" i="31"/>
  <c r="A9" i="31"/>
  <c r="A10" i="31"/>
  <c r="A11" i="31"/>
  <c r="A12" i="31"/>
  <c r="A13" i="31"/>
  <c r="A14" i="31"/>
  <c r="A15" i="31"/>
  <c r="A16" i="31"/>
  <c r="A17" i="31"/>
  <c r="B7" i="31"/>
  <c r="B8" i="31"/>
  <c r="B9" i="31"/>
  <c r="B10" i="31"/>
  <c r="B11" i="31"/>
  <c r="B12" i="31"/>
  <c r="B13" i="31"/>
  <c r="B14" i="31"/>
  <c r="B15" i="31"/>
  <c r="B16" i="31"/>
  <c r="B17" i="31"/>
  <c r="H12" i="31" l="1"/>
  <c r="O12" i="31"/>
  <c r="H15" i="31"/>
  <c r="O15" i="31"/>
  <c r="H7" i="31"/>
  <c r="O7" i="31"/>
  <c r="H16" i="31"/>
  <c r="O16" i="31"/>
  <c r="H11" i="31"/>
  <c r="O11" i="31"/>
  <c r="H14" i="31"/>
  <c r="O14" i="31"/>
  <c r="H10" i="31"/>
  <c r="O10" i="31"/>
  <c r="H8" i="31"/>
  <c r="O8" i="31"/>
  <c r="H17" i="31"/>
  <c r="O17" i="31"/>
  <c r="H13" i="31"/>
  <c r="O13" i="31"/>
  <c r="H9" i="31"/>
  <c r="O9" i="31"/>
  <c r="G7" i="31"/>
  <c r="B33" i="31"/>
  <c r="B32" i="31"/>
  <c r="B31" i="31"/>
  <c r="G8" i="31"/>
  <c r="G10" i="31"/>
  <c r="G14" i="31"/>
  <c r="G12" i="31"/>
  <c r="G13" i="31"/>
  <c r="G17" i="31"/>
  <c r="G16" i="31"/>
  <c r="G11" i="31"/>
  <c r="G15" i="31"/>
  <c r="G9" i="31"/>
  <c r="H32" i="31" l="1"/>
  <c r="D38" i="31" s="1"/>
  <c r="O31" i="31"/>
  <c r="C39" i="31" s="1"/>
  <c r="O33" i="31"/>
  <c r="E39" i="31" s="1"/>
  <c r="O32" i="31"/>
  <c r="D39" i="31" s="1"/>
  <c r="G31" i="31"/>
  <c r="C37" i="31" s="1"/>
  <c r="G33" i="31"/>
  <c r="E37" i="31" s="1"/>
  <c r="G32" i="31"/>
  <c r="D37" i="31" s="1"/>
  <c r="H33" i="31"/>
  <c r="E38" i="31" s="1"/>
  <c r="H31" i="31"/>
  <c r="C38" i="31" s="1"/>
  <c r="A38" i="28" l="1"/>
  <c r="A37" i="28"/>
  <c r="A27" i="28"/>
  <c r="A36" i="28" s="1"/>
  <c r="A35" i="28"/>
  <c r="F5" i="28"/>
  <c r="F6" i="28"/>
  <c r="F7" i="28"/>
  <c r="F8" i="28"/>
  <c r="F9" i="28"/>
  <c r="F10" i="28"/>
  <c r="F11" i="28"/>
  <c r="F12" i="28"/>
  <c r="F13" i="28"/>
  <c r="F14" i="28"/>
  <c r="F15" i="28"/>
  <c r="F4" i="28"/>
  <c r="A5" i="28"/>
  <c r="A6" i="28"/>
  <c r="A7" i="28"/>
  <c r="A8" i="28"/>
  <c r="A9" i="28"/>
  <c r="A10" i="28"/>
  <c r="A11" i="28"/>
  <c r="A12" i="28"/>
  <c r="A13" i="28"/>
  <c r="A14" i="28"/>
  <c r="A15" i="28"/>
  <c r="A4" i="28"/>
  <c r="B18" i="28" l="1"/>
  <c r="B26" i="28" s="1"/>
  <c r="B21" i="28"/>
  <c r="B19" i="28"/>
  <c r="B20" i="28"/>
  <c r="C84" i="27" l="1"/>
  <c r="F125" i="27"/>
  <c r="F124" i="27"/>
  <c r="F123" i="27"/>
  <c r="F122" i="27"/>
  <c r="B98" i="27"/>
  <c r="B99" i="27"/>
  <c r="B100" i="27"/>
  <c r="B101" i="27"/>
  <c r="B102" i="27"/>
  <c r="B103" i="27"/>
  <c r="B104" i="27"/>
  <c r="B105" i="27"/>
  <c r="B106" i="27"/>
  <c r="B107" i="27"/>
  <c r="B108" i="27"/>
  <c r="B97" i="27"/>
  <c r="L98" i="27" l="1"/>
  <c r="K123" i="27"/>
  <c r="K124" i="27"/>
  <c r="K125" i="27"/>
  <c r="F64" i="27" l="1"/>
  <c r="F65" i="27"/>
  <c r="F66" i="27"/>
  <c r="F67" i="27"/>
  <c r="F68" i="27"/>
  <c r="F69" i="27"/>
  <c r="F70" i="27"/>
  <c r="F71" i="27"/>
  <c r="F72" i="27"/>
  <c r="F73" i="27"/>
  <c r="F74" i="27"/>
  <c r="C87" i="27"/>
  <c r="C86" i="27"/>
  <c r="C85" i="27"/>
  <c r="F63" i="27"/>
  <c r="B64" i="27"/>
  <c r="B65" i="27"/>
  <c r="B66" i="27"/>
  <c r="B67" i="27"/>
  <c r="B68" i="27"/>
  <c r="B69" i="27"/>
  <c r="B70" i="27"/>
  <c r="B71" i="27"/>
  <c r="B72" i="27"/>
  <c r="B73" i="27"/>
  <c r="B74" i="27"/>
  <c r="B63" i="27"/>
  <c r="F57" i="27"/>
  <c r="F56" i="27"/>
  <c r="F55" i="27"/>
  <c r="F54" i="27"/>
  <c r="F32" i="27"/>
  <c r="F30" i="27"/>
  <c r="M2" i="1"/>
  <c r="M3" i="1" s="1"/>
  <c r="F31" i="27"/>
  <c r="B36" i="28" l="1"/>
  <c r="H56" i="27"/>
  <c r="H54" i="27"/>
  <c r="H55" i="27"/>
  <c r="S7" i="31" l="1"/>
  <c r="P7" i="31"/>
  <c r="P9" i="31"/>
  <c r="P8" i="31"/>
  <c r="P17" i="31"/>
  <c r="P16" i="31"/>
  <c r="P14" i="31"/>
  <c r="P12" i="31"/>
  <c r="P11" i="31"/>
  <c r="P10" i="31"/>
  <c r="P13" i="31"/>
  <c r="I56" i="27"/>
  <c r="I55" i="27"/>
  <c r="I54" i="27"/>
  <c r="I57" i="27"/>
  <c r="S15" i="31" l="1"/>
  <c r="P15" i="31"/>
  <c r="P6" i="31"/>
  <c r="S6" i="31"/>
  <c r="T6" i="31" s="1"/>
  <c r="C18" i="28"/>
  <c r="B27" i="28" s="1"/>
  <c r="C19" i="28"/>
  <c r="D40" i="31"/>
  <c r="C40" i="31"/>
  <c r="E40" i="31"/>
  <c r="C21" i="28"/>
  <c r="C20" i="28"/>
  <c r="L32" i="31"/>
  <c r="L31" i="31"/>
  <c r="L33" i="31"/>
  <c r="B30" i="28" l="1"/>
  <c r="C26" i="28" s="1"/>
  <c r="D57" i="7"/>
  <c r="D58" i="7"/>
  <c r="D59" i="7"/>
  <c r="D60" i="7"/>
  <c r="D61" i="7"/>
  <c r="D62" i="7"/>
  <c r="D63" i="7"/>
  <c r="D64" i="7"/>
  <c r="D65" i="7"/>
  <c r="D66" i="7"/>
  <c r="D67" i="7"/>
  <c r="D56" i="7"/>
  <c r="G47" i="7"/>
  <c r="E47" i="7"/>
  <c r="G8" i="7"/>
  <c r="G9" i="7"/>
  <c r="G10" i="7"/>
  <c r="G11" i="7"/>
  <c r="G12" i="7"/>
  <c r="G13" i="7"/>
  <c r="G14" i="7"/>
  <c r="G15" i="7"/>
  <c r="G16" i="7"/>
  <c r="G17" i="7"/>
  <c r="G18" i="7"/>
  <c r="G7" i="7"/>
  <c r="E6" i="7"/>
  <c r="F6" i="7"/>
  <c r="G6" i="7"/>
  <c r="H6" i="7"/>
  <c r="I6" i="7"/>
  <c r="D6" i="7"/>
  <c r="I5" i="7"/>
  <c r="I47" i="7" s="1"/>
  <c r="H5" i="7"/>
  <c r="H47" i="7" s="1"/>
  <c r="F5" i="7"/>
  <c r="F47" i="7" s="1"/>
  <c r="D8" i="7"/>
  <c r="D86" i="7" s="1"/>
  <c r="E8" i="7"/>
  <c r="F8" i="7"/>
  <c r="H8" i="7"/>
  <c r="I8" i="7"/>
  <c r="D9" i="7"/>
  <c r="D87" i="7" s="1"/>
  <c r="E9" i="7"/>
  <c r="F9" i="7"/>
  <c r="H9" i="7"/>
  <c r="I9" i="7"/>
  <c r="D10" i="7"/>
  <c r="D88" i="7" s="1"/>
  <c r="E10" i="7"/>
  <c r="F10" i="7"/>
  <c r="H10" i="7"/>
  <c r="I10" i="7"/>
  <c r="D11" i="7"/>
  <c r="D89" i="7" s="1"/>
  <c r="E11" i="7"/>
  <c r="F11" i="7"/>
  <c r="H11" i="7"/>
  <c r="I11" i="7"/>
  <c r="D12" i="7"/>
  <c r="D90" i="7" s="1"/>
  <c r="E12" i="7"/>
  <c r="F12" i="7"/>
  <c r="H12" i="7"/>
  <c r="I12" i="7"/>
  <c r="D13" i="7"/>
  <c r="D91" i="7" s="1"/>
  <c r="E13" i="7"/>
  <c r="F13" i="7"/>
  <c r="H13" i="7"/>
  <c r="I13" i="7"/>
  <c r="D14" i="7"/>
  <c r="D92" i="7" s="1"/>
  <c r="E14" i="7"/>
  <c r="F14" i="7"/>
  <c r="H14" i="7"/>
  <c r="I14" i="7"/>
  <c r="D15" i="7"/>
  <c r="D93" i="7" s="1"/>
  <c r="E15" i="7"/>
  <c r="F15" i="7"/>
  <c r="H15" i="7"/>
  <c r="I15" i="7"/>
  <c r="D16" i="7"/>
  <c r="D94" i="7" s="1"/>
  <c r="E16" i="7"/>
  <c r="F16" i="7"/>
  <c r="H16" i="7"/>
  <c r="I16" i="7"/>
  <c r="D17" i="7"/>
  <c r="E17" i="7"/>
  <c r="F17" i="7"/>
  <c r="H17" i="7"/>
  <c r="I17" i="7"/>
  <c r="D18" i="7"/>
  <c r="D96" i="7" s="1"/>
  <c r="E18" i="7"/>
  <c r="F18" i="7"/>
  <c r="H18" i="7"/>
  <c r="I18" i="7"/>
  <c r="E7" i="7"/>
  <c r="F7" i="7"/>
  <c r="H7" i="7"/>
  <c r="I7" i="7"/>
  <c r="D7" i="7"/>
  <c r="H4" i="7"/>
  <c r="I4" i="7"/>
  <c r="G4" i="7"/>
  <c r="F4" i="7"/>
  <c r="E27" i="7" l="1"/>
  <c r="D101" i="7"/>
  <c r="D100" i="7"/>
  <c r="D99" i="7"/>
  <c r="D98" i="7"/>
  <c r="H28" i="7"/>
  <c r="I22" i="7"/>
  <c r="H29" i="7"/>
  <c r="H27" i="7"/>
  <c r="E29" i="7"/>
  <c r="I29" i="7"/>
  <c r="I20" i="7"/>
  <c r="H22" i="7"/>
  <c r="H20" i="7"/>
  <c r="I27" i="7"/>
  <c r="I23" i="7"/>
  <c r="I21" i="7"/>
  <c r="I28" i="7"/>
  <c r="H23" i="7"/>
  <c r="H21" i="7"/>
  <c r="B37" i="28" l="1"/>
  <c r="B39" i="28" s="1"/>
  <c r="C37" i="28" l="1"/>
  <c r="C57" i="7"/>
  <c r="C86" i="7" s="1"/>
  <c r="C58" i="7"/>
  <c r="C87" i="7" s="1"/>
  <c r="C59" i="7"/>
  <c r="C88" i="7" s="1"/>
  <c r="C60" i="7"/>
  <c r="C89" i="7" s="1"/>
  <c r="C61" i="7"/>
  <c r="C90" i="7" s="1"/>
  <c r="C62" i="7"/>
  <c r="C91" i="7" s="1"/>
  <c r="C63" i="7"/>
  <c r="C92" i="7" s="1"/>
  <c r="C64" i="7"/>
  <c r="C93" i="7" s="1"/>
  <c r="C65" i="7"/>
  <c r="C94" i="7" s="1"/>
  <c r="C66" i="7"/>
  <c r="C95" i="7" s="1"/>
  <c r="C67" i="7"/>
  <c r="C96" i="7" s="1"/>
  <c r="C56" i="7"/>
  <c r="C85" i="7" s="1"/>
  <c r="D35" i="7"/>
  <c r="D38" i="7"/>
  <c r="D39" i="7"/>
  <c r="D40" i="7"/>
  <c r="D41" i="7"/>
  <c r="D42" i="7"/>
  <c r="D43" i="7"/>
  <c r="C8" i="7"/>
  <c r="C35" i="7" s="1"/>
  <c r="C9" i="7"/>
  <c r="C36" i="7" s="1"/>
  <c r="C10" i="7"/>
  <c r="C37" i="7" s="1"/>
  <c r="C11" i="7"/>
  <c r="C38" i="7" s="1"/>
  <c r="C12" i="7"/>
  <c r="C39" i="7" s="1"/>
  <c r="C13" i="7"/>
  <c r="C40" i="7" s="1"/>
  <c r="C14" i="7"/>
  <c r="C41" i="7" s="1"/>
  <c r="C15" i="7"/>
  <c r="C42" i="7" s="1"/>
  <c r="C16" i="7"/>
  <c r="C43" i="7" s="1"/>
  <c r="C17" i="7"/>
  <c r="C44" i="7" s="1"/>
  <c r="C18" i="7"/>
  <c r="C45" i="7" s="1"/>
  <c r="C7" i="7"/>
  <c r="C34" i="7" s="1"/>
  <c r="B18" i="7"/>
  <c r="D44" i="7"/>
  <c r="B17" i="7"/>
  <c r="B16" i="7"/>
  <c r="B15" i="7"/>
  <c r="B14" i="7"/>
  <c r="B13" i="7"/>
  <c r="B12" i="7"/>
  <c r="B11" i="7"/>
  <c r="B10" i="7"/>
  <c r="B9" i="7"/>
  <c r="B8" i="7"/>
  <c r="B7" i="7"/>
  <c r="F33" i="7"/>
  <c r="M33" i="7" s="1"/>
  <c r="D33" i="7"/>
  <c r="J33" i="7" s="1"/>
  <c r="L33" i="7" s="1"/>
  <c r="N33" i="7" s="1"/>
  <c r="F32" i="7"/>
  <c r="D31" i="7"/>
  <c r="C38" i="28" l="1"/>
  <c r="C36" i="28"/>
  <c r="C35" i="28"/>
  <c r="I42" i="7"/>
  <c r="S42" i="7" s="1"/>
  <c r="R42" i="7" s="1"/>
  <c r="H42" i="7"/>
  <c r="Q42" i="7" s="1"/>
  <c r="P42" i="7" s="1"/>
  <c r="I41" i="7"/>
  <c r="S41" i="7" s="1"/>
  <c r="R41" i="7" s="1"/>
  <c r="H41" i="7"/>
  <c r="Q41" i="7" s="1"/>
  <c r="P41" i="7" s="1"/>
  <c r="I44" i="7"/>
  <c r="S44" i="7" s="1"/>
  <c r="R44" i="7" s="1"/>
  <c r="H44" i="7"/>
  <c r="Q44" i="7" s="1"/>
  <c r="P44" i="7" s="1"/>
  <c r="I40" i="7"/>
  <c r="S40" i="7" s="1"/>
  <c r="R40" i="7" s="1"/>
  <c r="H40" i="7"/>
  <c r="Q40" i="7" s="1"/>
  <c r="P40" i="7" s="1"/>
  <c r="I38" i="7"/>
  <c r="S38" i="7" s="1"/>
  <c r="R38" i="7" s="1"/>
  <c r="H38" i="7"/>
  <c r="Q38" i="7" s="1"/>
  <c r="P38" i="7" s="1"/>
  <c r="I43" i="7"/>
  <c r="S43" i="7" s="1"/>
  <c r="R43" i="7" s="1"/>
  <c r="H43" i="7"/>
  <c r="Q43" i="7" s="1"/>
  <c r="P43" i="7" s="1"/>
  <c r="I39" i="7"/>
  <c r="S39" i="7" s="1"/>
  <c r="R39" i="7" s="1"/>
  <c r="H39" i="7"/>
  <c r="Q39" i="7" s="1"/>
  <c r="P39" i="7" s="1"/>
  <c r="I35" i="7"/>
  <c r="S35" i="7" s="1"/>
  <c r="R35" i="7" s="1"/>
  <c r="H35" i="7"/>
  <c r="Q35" i="7" s="1"/>
  <c r="P35" i="7" s="1"/>
  <c r="D36" i="7"/>
  <c r="D37" i="7"/>
  <c r="D45" i="7"/>
  <c r="F23" i="7"/>
  <c r="G27" i="7"/>
  <c r="G23" i="7"/>
  <c r="F29" i="7"/>
  <c r="D20" i="7"/>
  <c r="D21" i="7"/>
  <c r="D22" i="7"/>
  <c r="D23" i="7"/>
  <c r="F28" i="7"/>
  <c r="G29" i="7"/>
  <c r="E28" i="7"/>
  <c r="E20" i="7"/>
  <c r="E21" i="7"/>
  <c r="E22" i="7"/>
  <c r="E23" i="7"/>
  <c r="F27" i="7"/>
  <c r="G28" i="7"/>
  <c r="D34" i="7"/>
  <c r="G20" i="7"/>
  <c r="G21" i="7"/>
  <c r="G22" i="7"/>
  <c r="F20" i="7"/>
  <c r="F21" i="7"/>
  <c r="F22" i="7"/>
  <c r="E35" i="7" l="1"/>
  <c r="K35" i="7" s="1"/>
  <c r="J35" i="7" s="1"/>
  <c r="E34" i="7"/>
  <c r="H34" i="7"/>
  <c r="Q34" i="7" s="1"/>
  <c r="I34" i="7"/>
  <c r="S34" i="7" s="1"/>
  <c r="F34" i="7"/>
  <c r="I45" i="7"/>
  <c r="S45" i="7" s="1"/>
  <c r="R45" i="7" s="1"/>
  <c r="H45" i="7"/>
  <c r="Q45" i="7" s="1"/>
  <c r="P45" i="7" s="1"/>
  <c r="I37" i="7"/>
  <c r="S37" i="7" s="1"/>
  <c r="R37" i="7" s="1"/>
  <c r="H37" i="7"/>
  <c r="Q37" i="7" s="1"/>
  <c r="P37" i="7" s="1"/>
  <c r="I36" i="7"/>
  <c r="S36" i="7" s="1"/>
  <c r="R36" i="7" s="1"/>
  <c r="H36" i="7"/>
  <c r="Q36" i="7" s="1"/>
  <c r="P36" i="7" s="1"/>
  <c r="G36" i="7"/>
  <c r="O36" i="7" s="1"/>
  <c r="G40" i="7"/>
  <c r="O40" i="7" s="1"/>
  <c r="G44" i="7"/>
  <c r="O44" i="7" s="1"/>
  <c r="G34" i="7"/>
  <c r="O34" i="7" s="1"/>
  <c r="G37" i="7"/>
  <c r="O37" i="7" s="1"/>
  <c r="G41" i="7"/>
  <c r="O41" i="7" s="1"/>
  <c r="G45" i="7"/>
  <c r="O45" i="7" s="1"/>
  <c r="G43" i="7"/>
  <c r="O43" i="7" s="1"/>
  <c r="G38" i="7"/>
  <c r="O38" i="7" s="1"/>
  <c r="G42" i="7"/>
  <c r="O42" i="7" s="1"/>
  <c r="G39" i="7"/>
  <c r="O39" i="7" s="1"/>
  <c r="G35" i="7"/>
  <c r="O35" i="7" s="1"/>
  <c r="F41" i="7"/>
  <c r="E42" i="7"/>
  <c r="F37" i="7"/>
  <c r="E40" i="7"/>
  <c r="E37" i="7"/>
  <c r="F43" i="7"/>
  <c r="F42" i="7"/>
  <c r="F40" i="7"/>
  <c r="E45" i="7"/>
  <c r="E36" i="7"/>
  <c r="F45" i="7"/>
  <c r="E38" i="7"/>
  <c r="F39" i="7"/>
  <c r="F35" i="7"/>
  <c r="F44" i="7"/>
  <c r="E44" i="7"/>
  <c r="E39" i="7"/>
  <c r="E43" i="7"/>
  <c r="E41" i="7"/>
  <c r="F38" i="7"/>
  <c r="F36" i="7"/>
  <c r="K31" i="27"/>
  <c r="K29" i="27"/>
  <c r="K30" i="27"/>
  <c r="E56" i="7" l="1"/>
  <c r="R34" i="7"/>
  <c r="I49" i="7" s="1"/>
  <c r="P34" i="7"/>
  <c r="H49" i="7" s="1"/>
  <c r="K34" i="7"/>
  <c r="M38" i="7"/>
  <c r="L38" i="7" s="1"/>
  <c r="N35" i="7"/>
  <c r="K38" i="7"/>
  <c r="J38" i="7" s="1"/>
  <c r="M42" i="7"/>
  <c r="L42" i="7" s="1"/>
  <c r="N42" i="7"/>
  <c r="N40" i="7"/>
  <c r="K41" i="7"/>
  <c r="J41" i="7" s="1"/>
  <c r="N34" i="7"/>
  <c r="M44" i="7"/>
  <c r="L44" i="7" s="1"/>
  <c r="N43" i="7"/>
  <c r="N38" i="7"/>
  <c r="N41" i="7"/>
  <c r="K40" i="7"/>
  <c r="J40" i="7" s="1"/>
  <c r="N37" i="7"/>
  <c r="M36" i="7"/>
  <c r="L36" i="7" s="1"/>
  <c r="M34" i="7"/>
  <c r="N36" i="7"/>
  <c r="K37" i="7"/>
  <c r="J37" i="7" s="1"/>
  <c r="K43" i="7"/>
  <c r="J43" i="7" s="1"/>
  <c r="M35" i="7"/>
  <c r="L35" i="7" s="1"/>
  <c r="M45" i="7"/>
  <c r="L45" i="7" s="1"/>
  <c r="K45" i="7"/>
  <c r="J45" i="7" s="1"/>
  <c r="M43" i="7"/>
  <c r="L43" i="7" s="1"/>
  <c r="M37" i="7"/>
  <c r="L37" i="7" s="1"/>
  <c r="N39" i="7"/>
  <c r="K39" i="7"/>
  <c r="J39" i="7" s="1"/>
  <c r="K44" i="7"/>
  <c r="J44" i="7" s="1"/>
  <c r="M39" i="7"/>
  <c r="L39" i="7" s="1"/>
  <c r="K36" i="7"/>
  <c r="J36" i="7" s="1"/>
  <c r="M40" i="7"/>
  <c r="L40" i="7" s="1"/>
  <c r="N45" i="7"/>
  <c r="K42" i="7"/>
  <c r="J42" i="7" s="1"/>
  <c r="N44" i="7"/>
  <c r="M41" i="7"/>
  <c r="L41" i="7" s="1"/>
  <c r="I48" i="7" l="1"/>
  <c r="I50" i="7"/>
  <c r="H48" i="7"/>
  <c r="H50" i="7"/>
  <c r="L34" i="7"/>
  <c r="F48" i="7" s="1"/>
  <c r="J34" i="7"/>
  <c r="E48" i="7" s="1"/>
  <c r="G50" i="7"/>
  <c r="G48" i="7"/>
  <c r="G49" i="7"/>
  <c r="E50" i="7" l="1"/>
  <c r="E49" i="7"/>
  <c r="F49" i="7"/>
  <c r="F50" i="7"/>
  <c r="D71" i="7" l="1"/>
  <c r="D72" i="7"/>
  <c r="D70" i="7"/>
  <c r="D69" i="7"/>
  <c r="L99" i="27" l="1"/>
  <c r="L100" i="27"/>
  <c r="L101" i="27"/>
  <c r="L109" i="27"/>
  <c r="L106" i="27"/>
  <c r="L107" i="27"/>
  <c r="L104" i="27"/>
  <c r="L103" i="27"/>
  <c r="L108" i="27"/>
  <c r="L102" i="27"/>
  <c r="L105" i="27"/>
  <c r="E94" i="7" l="1"/>
  <c r="E67" i="7"/>
  <c r="E66" i="7"/>
  <c r="E59" i="7"/>
  <c r="E92" i="7"/>
  <c r="E60" i="7"/>
  <c r="E91" i="7"/>
  <c r="E64" i="7"/>
  <c r="E87" i="7"/>
  <c r="E61" i="7"/>
  <c r="L126" i="27"/>
  <c r="L123" i="27"/>
  <c r="L125" i="27"/>
  <c r="L124" i="27"/>
  <c r="E89" i="7" l="1"/>
  <c r="E65" i="7"/>
  <c r="E63" i="7"/>
  <c r="E62" i="7"/>
  <c r="E58" i="7"/>
  <c r="F18" i="28"/>
  <c r="E93" i="7"/>
  <c r="E88" i="7"/>
  <c r="E96" i="7"/>
  <c r="E90" i="7"/>
  <c r="F21" i="28"/>
  <c r="F19" i="28"/>
  <c r="F20" i="28"/>
  <c r="E57" i="7"/>
  <c r="E86" i="7"/>
  <c r="C28" i="28" l="1"/>
  <c r="C27" i="28"/>
  <c r="E100" i="7"/>
  <c r="E99" i="7"/>
  <c r="E98" i="7"/>
  <c r="E101" i="7"/>
  <c r="E70" i="7"/>
  <c r="E71" i="7"/>
  <c r="E72" i="7"/>
  <c r="E69" i="7"/>
  <c r="E76" i="7"/>
  <c r="E78" i="7"/>
  <c r="E77" i="7"/>
  <c r="C29" i="28"/>
  <c r="F57" i="7" l="1"/>
  <c r="H57" i="7" s="1"/>
  <c r="G57" i="7" s="1"/>
  <c r="F59" i="7"/>
  <c r="H59" i="7" s="1"/>
  <c r="G59" i="7" s="1"/>
  <c r="F67" i="7"/>
  <c r="H67" i="7" s="1"/>
  <c r="G67" i="7" s="1"/>
  <c r="F65" i="7"/>
  <c r="H65" i="7" s="1"/>
  <c r="G65" i="7" s="1"/>
  <c r="F62" i="7"/>
  <c r="H62" i="7" s="1"/>
  <c r="G62" i="7" s="1"/>
  <c r="F63" i="7"/>
  <c r="H63" i="7" s="1"/>
  <c r="G63" i="7" s="1"/>
  <c r="F66" i="7"/>
  <c r="H66" i="7" s="1"/>
  <c r="G66" i="7" s="1"/>
  <c r="F64" i="7"/>
  <c r="H64" i="7" s="1"/>
  <c r="G64" i="7" s="1"/>
  <c r="F56" i="7"/>
  <c r="H56" i="7" s="1"/>
  <c r="F61" i="7"/>
  <c r="H61" i="7" s="1"/>
  <c r="G61" i="7" s="1"/>
  <c r="F58" i="7"/>
  <c r="H58" i="7" s="1"/>
  <c r="G58" i="7" s="1"/>
  <c r="F60" i="7"/>
  <c r="H60" i="7" s="1"/>
  <c r="G60" i="7" s="1"/>
  <c r="G56" i="7" l="1"/>
  <c r="I77" i="7" s="1"/>
  <c r="I76" i="7" l="1"/>
  <c r="I58" i="7" s="1"/>
  <c r="I78" i="7"/>
  <c r="I56" i="7" l="1"/>
  <c r="I67" i="7"/>
  <c r="I64" i="7"/>
  <c r="I62" i="7"/>
  <c r="I61" i="7"/>
  <c r="I65" i="7"/>
  <c r="I66" i="7"/>
  <c r="I57" i="7"/>
  <c r="I60" i="7"/>
  <c r="I63" i="7"/>
  <c r="I59" i="7"/>
  <c r="S10" i="31"/>
  <c r="T10" i="31" s="1"/>
  <c r="S11" i="31"/>
  <c r="T11" i="31" s="1"/>
  <c r="S12" i="31"/>
  <c r="T12" i="31" s="1"/>
  <c r="S9" i="31"/>
  <c r="T9" i="31" s="1"/>
  <c r="S16" i="31"/>
  <c r="T16" i="31" s="1"/>
  <c r="S17" i="31"/>
  <c r="T17" i="31" s="1"/>
  <c r="S14" i="31"/>
  <c r="T14" i="31" s="1"/>
  <c r="T15" i="31"/>
  <c r="S13" i="31"/>
  <c r="T13" i="31" s="1"/>
  <c r="S8" i="31"/>
  <c r="T8" i="31" s="1"/>
  <c r="T7" i="31"/>
  <c r="S33" i="31" l="1"/>
  <c r="T33" i="31"/>
  <c r="E41" i="31" s="1"/>
  <c r="T32" i="31"/>
  <c r="D41" i="31" s="1"/>
  <c r="S32" i="31"/>
  <c r="T31" i="31"/>
  <c r="C41" i="31" s="1"/>
  <c r="S31" i="3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tc={99C2CDE7-67D6-4E08-81BD-1A3FAAA87218}</author>
  </authors>
  <commentList>
    <comment ref="F3" authorId="0" shapeId="0" xr:uid="{99C2CDE7-67D6-4E08-81BD-1A3FAAA87218}">
      <text>
        <t>[Threaded comment]
Your version of Excel allows you to read this threaded comment; however, any edits to it will get removed if the file is opened in a newer version of Excel. Learn more: https://go.microsoft.com/fwlink/?linkid=870924
Comment:
    Se toman las dos cuentas mas representativas y se excluye la de enel
por que as otras suman mas del 90%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Malla Nancy (EXT)</author>
  </authors>
  <commentList>
    <comment ref="M3" authorId="0" shapeId="0" xr:uid="{F953B05C-122E-4DC1-BFEF-EB1150A500EF}">
      <text>
        <r>
          <rPr>
            <b/>
            <sz val="9"/>
            <color indexed="81"/>
            <rFont val="Tahoma"/>
            <family val="2"/>
          </rPr>
          <t>Malla Nancy (EXT):</t>
        </r>
        <r>
          <rPr>
            <sz val="9"/>
            <color indexed="81"/>
            <rFont val="Tahoma"/>
            <family val="2"/>
          </rPr>
          <t xml:space="preserve">
El inventario es teorico con placa de motor o punta voltioamperimtrica es por esto que el error es tan grande, no tenemos medidor por equipo.</t>
        </r>
      </text>
    </comment>
  </commentList>
</comments>
</file>

<file path=xl/sharedStrings.xml><?xml version="1.0" encoding="utf-8"?>
<sst xmlns="http://schemas.openxmlformats.org/spreadsheetml/2006/main" count="550" uniqueCount="234">
  <si>
    <t>EQUIPO</t>
  </si>
  <si>
    <t>POTENCIA (HP)</t>
  </si>
  <si>
    <t>TIEMPO DE OPERACIÓN (horas/día)</t>
  </si>
  <si>
    <t>CONSUMO (kWh/día)</t>
  </si>
  <si>
    <t>USO FINAL DE ENERGÍA</t>
  </si>
  <si>
    <t>Mes</t>
  </si>
  <si>
    <t>(kWh)</t>
  </si>
  <si>
    <t xml:space="preserve">Energía Eléctrica </t>
  </si>
  <si>
    <t>Consumo de energéticos mas representativos</t>
  </si>
  <si>
    <t>Promedio</t>
  </si>
  <si>
    <t>Desviación Estándar</t>
  </si>
  <si>
    <t>Maximo</t>
  </si>
  <si>
    <t xml:space="preserve">Minimo </t>
  </si>
  <si>
    <t>SITUACIÓN ACTUAL</t>
  </si>
  <si>
    <t>Pendiente  (m)</t>
  </si>
  <si>
    <t>Intercepto (b)</t>
  </si>
  <si>
    <t>Coeficiente de Correlación (R2)</t>
  </si>
  <si>
    <t>Producción Meta</t>
  </si>
  <si>
    <t>Energía Eléctrica Meta</t>
  </si>
  <si>
    <t>ÁREA O PROCESO</t>
  </si>
  <si>
    <t>CANTIDAD</t>
  </si>
  <si>
    <t>POTENCIA TOTAL (kW)</t>
  </si>
  <si>
    <t>Inicio</t>
  </si>
  <si>
    <t>Máximo</t>
  </si>
  <si>
    <t>Mínimo</t>
  </si>
  <si>
    <t>Ton</t>
  </si>
  <si>
    <t>kWh</t>
  </si>
  <si>
    <t>ACPM</t>
  </si>
  <si>
    <t>MJ</t>
  </si>
  <si>
    <t>kWh/Ton</t>
  </si>
  <si>
    <t>MES</t>
  </si>
  <si>
    <t>TOTAL</t>
  </si>
  <si>
    <t xml:space="preserve">Observaciones </t>
  </si>
  <si>
    <t xml:space="preserve">Poder calorifico </t>
  </si>
  <si>
    <t xml:space="preserve">Fuente [1] </t>
  </si>
  <si>
    <t>http://www.upme.gov.co/Calculadora_Emisiones/aplicacion/calculadora.html</t>
  </si>
  <si>
    <t xml:space="preserve">Factor de conversión </t>
  </si>
  <si>
    <t>Fuente [2]</t>
  </si>
  <si>
    <t>http://www.convertworld.com/es/energia/</t>
  </si>
  <si>
    <t>Galones</t>
  </si>
  <si>
    <t xml:space="preserve">Relacion </t>
  </si>
  <si>
    <t>Densidad</t>
  </si>
  <si>
    <t>Conversion</t>
  </si>
  <si>
    <t xml:space="preserve">Litros </t>
  </si>
  <si>
    <t>Fuente [5]</t>
  </si>
  <si>
    <t>https://www.google.com.co/webhp?sourceid=chrome-instant&amp;ion=1&amp;espv=2&amp;ie=UTF-8#q=galones+a+litros&amp;*</t>
  </si>
  <si>
    <t>Fuente [6]</t>
  </si>
  <si>
    <t xml:space="preserve">TOTAL </t>
  </si>
  <si>
    <t xml:space="preserve">Energia electrica </t>
  </si>
  <si>
    <t xml:space="preserve">MATRIZ ENERGETICA </t>
  </si>
  <si>
    <t xml:space="preserve">Energético </t>
  </si>
  <si>
    <t>%</t>
  </si>
  <si>
    <t xml:space="preserve">MATRIZ COSTOS ENERGETICOS  </t>
  </si>
  <si>
    <t>$ Pesos</t>
  </si>
  <si>
    <t>Produccion</t>
  </si>
  <si>
    <t xml:space="preserve">Consumo total real  </t>
  </si>
  <si>
    <t xml:space="preserve">Consumo total teorico  </t>
  </si>
  <si>
    <t xml:space="preserve">TEORICO </t>
  </si>
  <si>
    <t>informe CAR</t>
  </si>
  <si>
    <t>Energía total Meta</t>
  </si>
  <si>
    <t>Energía total teorica</t>
  </si>
  <si>
    <t xml:space="preserve">Energía Vs Producción </t>
  </si>
  <si>
    <t xml:space="preserve">Producción </t>
  </si>
  <si>
    <t>Gasolina</t>
  </si>
  <si>
    <t>Gal</t>
  </si>
  <si>
    <t>Fuente [3]</t>
  </si>
  <si>
    <t>Precio [7]</t>
  </si>
  <si>
    <t>Etanol</t>
  </si>
  <si>
    <t>Fuente [4]</t>
  </si>
  <si>
    <t>http://www.upme.gov.co/generadorconsultas/Consulta_Series.aspx?idModulo=3&amp;tipoSerie=135&amp;fechainicial=01/01/2010&amp;fechafinal=31/12/2016</t>
  </si>
  <si>
    <t>Biomasa</t>
  </si>
  <si>
    <t xml:space="preserve">Gasolina </t>
  </si>
  <si>
    <t xml:space="preserve">Consumos Teoricos </t>
  </si>
  <si>
    <t xml:space="preserve">Carbón </t>
  </si>
  <si>
    <t xml:space="preserve">Biomasa </t>
  </si>
  <si>
    <t>ton</t>
  </si>
  <si>
    <t>CAPACIDAD (ton/ciclo o quema)</t>
  </si>
  <si>
    <t>Retroexcavadora pajarita</t>
  </si>
  <si>
    <t>Retroexcavadora oruga</t>
  </si>
  <si>
    <t>cargador</t>
  </si>
  <si>
    <t>Extracción</t>
  </si>
  <si>
    <t>Poder calorifico MJ/kg</t>
  </si>
  <si>
    <t>Consumo (Ton/mes)</t>
  </si>
  <si>
    <t xml:space="preserve">ENERGIA ELECTRICA </t>
  </si>
  <si>
    <t>EE</t>
  </si>
  <si>
    <t>kWh/mes</t>
  </si>
  <si>
    <t>Intercepto (Eo)</t>
  </si>
  <si>
    <t>Indicador</t>
  </si>
  <si>
    <t>Unidad</t>
  </si>
  <si>
    <t>IDE 1</t>
  </si>
  <si>
    <t>IDE 2</t>
  </si>
  <si>
    <t>IDE 3</t>
  </si>
  <si>
    <t>IDE 4</t>
  </si>
  <si>
    <t>IDE 5</t>
  </si>
  <si>
    <t>DATOS GENERALES DE LA EMPRESA</t>
  </si>
  <si>
    <t>Suma</t>
  </si>
  <si>
    <t>Costo total</t>
  </si>
  <si>
    <t xml:space="preserve">Precio </t>
  </si>
  <si>
    <t>Precio</t>
  </si>
  <si>
    <t>Empresa</t>
  </si>
  <si>
    <t>CODENSA</t>
  </si>
  <si>
    <t>http://www.sipg.gov.co/sipg/documentos/estudios_recientes/Informe_Final_CTL.pdf</t>
  </si>
  <si>
    <t xml:space="preserve">BioACPM </t>
  </si>
  <si>
    <t>kg/litro</t>
  </si>
  <si>
    <t>MJ/kg</t>
  </si>
  <si>
    <t>Fuente [7]</t>
  </si>
  <si>
    <t>http://www.upme.gov.co/generadorconsultas/Consulta_Series.aspx?idModulo=3&amp;tipoSerie=136&amp;fechainicial=01/01/2010&amp;fechafinal=31/12/2016</t>
  </si>
  <si>
    <t>PRODUCCIÓN</t>
  </si>
  <si>
    <t>CONSUMOS ENEGÉTICOS (kWh)</t>
  </si>
  <si>
    <t>ENERGÍA ELÉCTRICA</t>
  </si>
  <si>
    <t>GASOLINA</t>
  </si>
  <si>
    <t>POTENCIA (W)</t>
  </si>
  <si>
    <t>Días trabajados en el mes</t>
  </si>
  <si>
    <t>Consumo Factura mensual (kWh)</t>
  </si>
  <si>
    <t>Error del inventario</t>
  </si>
  <si>
    <t>Nota</t>
  </si>
  <si>
    <t>El error del inventario debería estar alrededor de +/- 10%</t>
  </si>
  <si>
    <t>CONSUMO DE ENERGÍA. TENDENCIA</t>
  </si>
  <si>
    <t>RESIDUAL</t>
  </si>
  <si>
    <t>RESIDUAL ESTÁNDAR</t>
  </si>
  <si>
    <t>DATOS LÍNEA BASE</t>
  </si>
  <si>
    <t>DATOS LÍNEA META</t>
  </si>
  <si>
    <t>% energia no asociada a la producción línea base</t>
  </si>
  <si>
    <t>TOTAL CONSUMO</t>
  </si>
  <si>
    <t>IC TOTAL</t>
  </si>
  <si>
    <t>ÍNDICE PRODUCCIÓN POR UNIDAD DE ENERGÍA</t>
  </si>
  <si>
    <t>Modificar la fórmula de este índice si la producción está dada en otra unidad diferente a Toneladas</t>
  </si>
  <si>
    <t>kg/kWh E.E</t>
  </si>
  <si>
    <t>kWh/Ton TOTAL</t>
  </si>
  <si>
    <t>NIT</t>
  </si>
  <si>
    <t>CIIU</t>
  </si>
  <si>
    <t>Fabricación de materiales de arcilla para la construcción</t>
  </si>
  <si>
    <t>CARGO</t>
  </si>
  <si>
    <t>ORGANIZACIÓN DE LA INSTITUCIÓN</t>
  </si>
  <si>
    <t>NUMERO DE TRABAJADORES</t>
  </si>
  <si>
    <t>HORARIO LABORAL</t>
  </si>
  <si>
    <t>DE</t>
  </si>
  <si>
    <t>AM</t>
  </si>
  <si>
    <t>PM</t>
  </si>
  <si>
    <t>A</t>
  </si>
  <si>
    <t>TURNO 1</t>
  </si>
  <si>
    <t>X</t>
  </si>
  <si>
    <t>TURNO 2</t>
  </si>
  <si>
    <t>TURNO 3</t>
  </si>
  <si>
    <t>TURNO 4</t>
  </si>
  <si>
    <t>DÍAS DE TRABAJO AL MES</t>
  </si>
  <si>
    <t>RAZÓN SOCIAL</t>
  </si>
  <si>
    <t>ACTIVIDAD ECONÓMICA</t>
  </si>
  <si>
    <t>DIRECCIÓN</t>
  </si>
  <si>
    <t>CIUDAD</t>
  </si>
  <si>
    <t>CONTACTO DE VISITA</t>
  </si>
  <si>
    <t>WEB COMPAÑÍA</t>
  </si>
  <si>
    <t>TEL</t>
  </si>
  <si>
    <t>MÓVIL</t>
  </si>
  <si>
    <t>DEPARTAMENTO</t>
  </si>
  <si>
    <t>EMAIL CONTACTO</t>
  </si>
  <si>
    <t>INSTRUCCIONES BÁSICAS</t>
  </si>
  <si>
    <t>Comportamiento del consumo de cada energético vs producción</t>
  </si>
  <si>
    <t>ENAP LÍNEA BASE</t>
  </si>
  <si>
    <t>CONSUMO PROMEDIO AL MES</t>
  </si>
  <si>
    <t xml:space="preserve">GAS NATURAL </t>
  </si>
  <si>
    <t>M3</t>
  </si>
  <si>
    <t xml:space="preserve">Empresa </t>
  </si>
  <si>
    <t>m3/Ton</t>
  </si>
  <si>
    <t>MJ/m3</t>
  </si>
  <si>
    <t>VANTI</t>
  </si>
  <si>
    <t>ÍNDICE DE CONSUMO POR UNIDAD DE PRODUCCIÓN</t>
  </si>
  <si>
    <t xml:space="preserve">1. Recuerde que en la  hoja de consumos y producción usted deberá  introducir los datos consolidados y a  paratir de allí se generaran las herramientas de caracterización energética </t>
  </si>
  <si>
    <t>3. La carcaterización energétia siempre inicia con una contextualización de  la organización, sus áreas  y procesos .</t>
  </si>
  <si>
    <t>2. Esta herramienta servira para que usted avance en la  carcaterización energética de su organización, sin embargo , en lo posible se recomienda ajustarla  a su organizacion, recuerde además  que  los diagramas o  gráficos  solos no dicen nada, siempre deben estar  acompañados de un análisis.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</si>
  <si>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</si>
  <si>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</si>
  <si>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</si>
  <si>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</si>
  <si>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</si>
  <si>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</si>
  <si>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</si>
  <si>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</si>
  <si>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</si>
  <si>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</si>
  <si>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</si>
  <si>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</si>
  <si>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CELSIA</t>
  </si>
  <si>
    <t>kWh Celsia 0607</t>
  </si>
  <si>
    <t>kWh Celsia 1501</t>
  </si>
  <si>
    <t>kWh Enel 433-1</t>
  </si>
  <si>
    <t>Celsia 0607</t>
  </si>
  <si>
    <t>Celsia 1501</t>
  </si>
  <si>
    <t>Enel 433-1</t>
  </si>
  <si>
    <t>Gas Propano</t>
  </si>
  <si>
    <t>GL</t>
  </si>
  <si>
    <t>kg</t>
  </si>
  <si>
    <t>GAS PROPANO</t>
  </si>
  <si>
    <t>GAS CARBONICO</t>
  </si>
  <si>
    <t>KG</t>
  </si>
  <si>
    <t>kg/Ton</t>
  </si>
  <si>
    <t>gl/Ton</t>
  </si>
  <si>
    <t>Electrical Machineru and Equip - Wire drawing</t>
  </si>
  <si>
    <t>Electrical Machineru and Equip - Stranding</t>
  </si>
  <si>
    <t>210-EB1</t>
  </si>
  <si>
    <t>236-ENTRE</t>
  </si>
  <si>
    <t>239-BOB</t>
  </si>
  <si>
    <t>Electrical Machineru and Equip - Jacketing</t>
  </si>
  <si>
    <t>Caldera</t>
  </si>
  <si>
    <t>Horno 126</t>
  </si>
  <si>
    <t>Horno 131</t>
  </si>
  <si>
    <t xml:space="preserve">Gas natural </t>
  </si>
  <si>
    <t>Reticula</t>
  </si>
  <si>
    <t>Recocido de Al</t>
  </si>
  <si>
    <t>Calentamiento</t>
  </si>
  <si>
    <t>TREFILADOS. ZONA 1</t>
  </si>
  <si>
    <t>TREFILADOS ZONA 1</t>
  </si>
  <si>
    <t>CABLEADOS. ZONA 1</t>
  </si>
  <si>
    <t>FORRADOS. FORRADOS</t>
  </si>
  <si>
    <t>FORRADOS. MEDIDAS</t>
  </si>
  <si>
    <t>FORRADOS. EMPAQUE</t>
  </si>
  <si>
    <t>FORRADOS.EMPAQUE</t>
  </si>
  <si>
    <t>FORRADOS.FORRADOS</t>
  </si>
  <si>
    <t>Diseño y desarrollo</t>
  </si>
  <si>
    <t>Sistemas</t>
  </si>
  <si>
    <t>Trefilados</t>
  </si>
  <si>
    <t xml:space="preserve">Cableados </t>
  </si>
  <si>
    <t>Forrados</t>
  </si>
  <si>
    <t xml:space="preserve">Empaques </t>
  </si>
  <si>
    <t>Control de calidad</t>
  </si>
  <si>
    <t>Mantenimiento</t>
  </si>
  <si>
    <t>Suppy chain logistica</t>
  </si>
  <si>
    <t>Supply Chain (mp)</t>
  </si>
  <si>
    <t>Consumo productivo</t>
  </si>
  <si>
    <t>Consumo administrativo</t>
  </si>
  <si>
    <t>Descripcion Area</t>
  </si>
  <si>
    <t>Tipo de consumo</t>
  </si>
  <si>
    <t>% de participacion</t>
  </si>
  <si>
    <t>% acumulado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</si>
</sst>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&quot;$&quot;\ * #,##0.00_-;\-&quot;$&quot;\ * #,##0.00_-;_-&quot;$&quot;\ * &quot;-&quot;??_-;_-@_-"/>
    <numFmt numFmtId="164" formatCode="_-&quot;$&quot;* #,##0.00_-;\-&quot;$&quot;* #,##0.00_-;_-&quot;$&quot;* &quot;-&quot;??_-;_-@_-"/>
    <numFmt numFmtId="165" formatCode="_(* #,##0.00_);_(* \(#,##0.00\);_(* &quot;-&quot;??_);_(@_)"/>
    <numFmt numFmtId="166" formatCode="0.0000"/>
    <numFmt numFmtId="167" formatCode="0.0"/>
    <numFmt numFmtId="168" formatCode="#,##0.0"/>
    <numFmt numFmtId="169" formatCode="0.000"/>
    <numFmt numFmtId="170" formatCode="0.0%"/>
    <numFmt numFmtId="171" formatCode="_(&quot;$&quot;\ * #,##0_);_(&quot;$&quot;\ * \(#,##0\);_(&quot;$&quot;\ * &quot;-&quot;??_);_(@_)"/>
    <numFmt numFmtId="172" formatCode="_-&quot;$&quot;\ * #,##0_-;\-&quot;$&quot;\ * #,##0_-;_-&quot;$&quot;\ * &quot;-&quot;??_-;_-@_-"/>
    <numFmt numFmtId="173" formatCode="[$$-240A]\ #,##0"/>
    <numFmt numFmtId="174" formatCode="_(&quot;$&quot;\ * #,##0.00_);_(&quot;$&quot;\ * \(#,##0.00\);_(&quot;$&quot;\ * &quot;-&quot;??_);_(@_)"/>
    <numFmt numFmtId="175" formatCode="#,##0.0000"/>
    <numFmt numFmtId="176" formatCode="0.00000"/>
  </numFmts>
  <fonts count="26"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Calibri 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b/>
      <sz val="20"/>
      <color theme="1"/>
      <name val="Calibri"/>
      <family val="2"/>
      <scheme val="minor"/>
    </font>
    <font>
      <u/>
      <sz val="10"/>
      <color theme="10"/>
      <name val="Calibri"/>
      <family val="2"/>
    </font>
    <font>
      <sz val="10"/>
      <name val="Trebuchet MS"/>
      <family val="2"/>
    </font>
    <font>
      <b/>
      <sz val="24"/>
      <name val="Calibri"/>
      <family val="2"/>
      <scheme val="minor"/>
    </font>
    <font>
      <sz val="8"/>
      <name val="Calibri"/>
      <family val="2"/>
      <scheme val="minor"/>
    </font>
    <font>
      <sz val="12"/>
      <color rgb="FF111111"/>
      <name val="Roboto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">
    <xf numFmtId="173" fontId="0" fillId="0" borderId="0"/>
    <xf numFmtId="173" fontId="4" fillId="0" borderId="0" applyNumberFormat="0" applyFill="0" applyBorder="0" applyAlignment="0" applyProtection="0">
      <alignment vertical="top"/>
      <protection locked="0"/>
    </xf>
    <xf numFmtId="173" fontId="3" fillId="0" borderId="0"/>
    <xf numFmtId="173" fontId="1" fillId="0" borderId="0"/>
    <xf numFmtId="173" fontId="1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3" fontId="16" fillId="0" borderId="0" applyNumberFormat="0" applyFill="0" applyBorder="0" applyAlignment="0" applyProtection="0"/>
    <xf numFmtId="173" fontId="17" fillId="0" borderId="0"/>
    <xf numFmtId="173" fontId="1" fillId="0" borderId="0"/>
    <xf numFmtId="173" fontId="4" fillId="0" borderId="0" applyNumberFormat="0" applyFill="0" applyBorder="0" applyAlignment="0" applyProtection="0">
      <alignment vertical="top"/>
      <protection locked="0"/>
    </xf>
  </cellStyleXfs>
  <cellXfs count="376">
    <xf numFmtId="173" fontId="0" fillId="0" borderId="0" xfId="0"/>
    <xf numFmtId="168" fontId="0" fillId="0" borderId="0" xfId="0" applyNumberFormat="1"/>
    <xf numFmtId="173" fontId="0" fillId="2" borderId="0" xfId="0" applyFill="1"/>
    <xf numFmtId="173" fontId="0" fillId="0" borderId="0" xfId="0" applyProtection="1">
      <protection hidden="1"/>
    </xf>
    <xf numFmtId="173" fontId="10" fillId="0" borderId="0" xfId="0" applyFont="1" applyProtection="1">
      <protection hidden="1"/>
    </xf>
    <xf numFmtId="173" fontId="0" fillId="0" borderId="0" xfId="0" applyFill="1" applyProtection="1">
      <protection hidden="1"/>
    </xf>
    <xf numFmtId="173" fontId="5" fillId="4" borderId="1" xfId="0" applyFont="1" applyFill="1" applyBorder="1" applyAlignment="1" applyProtection="1">
      <alignment horizontal="center"/>
      <protection locked="0" hidden="1"/>
    </xf>
    <xf numFmtId="173" fontId="0" fillId="0" borderId="0" xfId="0" applyProtection="1">
      <protection locked="0" hidden="1"/>
    </xf>
    <xf numFmtId="173" fontId="0" fillId="4" borderId="1" xfId="0" applyFill="1" applyBorder="1" applyProtection="1">
      <protection locked="0" hidden="1"/>
    </xf>
    <xf numFmtId="17" fontId="0" fillId="4" borderId="1" xfId="0" applyNumberFormat="1" applyFill="1" applyBorder="1" applyProtection="1">
      <protection locked="0" hidden="1"/>
    </xf>
    <xf numFmtId="173" fontId="0" fillId="0" borderId="0" xfId="0" applyFill="1" applyBorder="1" applyProtection="1">
      <protection locked="0" hidden="1"/>
    </xf>
    <xf numFmtId="173" fontId="0" fillId="0" borderId="0" xfId="0" applyFill="1" applyProtection="1">
      <protection locked="0" hidden="1"/>
    </xf>
    <xf numFmtId="173" fontId="0" fillId="5" borderId="1" xfId="0" applyFill="1" applyBorder="1" applyProtection="1">
      <protection locked="0" hidden="1"/>
    </xf>
    <xf numFmtId="168" fontId="0" fillId="5" borderId="1" xfId="0" applyNumberFormat="1" applyFill="1" applyBorder="1" applyProtection="1">
      <protection locked="0" hidden="1"/>
    </xf>
    <xf numFmtId="2" fontId="0" fillId="0" borderId="0" xfId="0" applyNumberFormat="1" applyFill="1" applyBorder="1" applyProtection="1">
      <protection locked="0" hidden="1"/>
    </xf>
    <xf numFmtId="173" fontId="5" fillId="5" borderId="0" xfId="0" applyFont="1" applyFill="1" applyBorder="1" applyProtection="1">
      <protection locked="0" hidden="1"/>
    </xf>
    <xf numFmtId="166" fontId="0" fillId="4" borderId="1" xfId="0" applyNumberFormat="1" applyFill="1" applyBorder="1" applyProtection="1">
      <protection locked="0" hidden="1"/>
    </xf>
    <xf numFmtId="2" fontId="0" fillId="4" borderId="1" xfId="0" applyNumberFormat="1" applyFill="1" applyBorder="1" applyProtection="1">
      <protection locked="0" hidden="1"/>
    </xf>
    <xf numFmtId="2" fontId="0" fillId="0" borderId="1" xfId="0" applyNumberFormat="1" applyBorder="1" applyProtection="1">
      <protection locked="0" hidden="1"/>
    </xf>
    <xf numFmtId="167" fontId="0" fillId="0" borderId="1" xfId="0" applyNumberFormat="1" applyBorder="1" applyProtection="1">
      <protection locked="0" hidden="1"/>
    </xf>
    <xf numFmtId="1" fontId="0" fillId="0" borderId="0" xfId="0" applyNumberFormat="1" applyProtection="1">
      <protection locked="0" hidden="1"/>
    </xf>
    <xf numFmtId="173" fontId="0" fillId="0" borderId="0" xfId="0" applyFill="1"/>
    <xf numFmtId="3" fontId="0" fillId="0" borderId="0" xfId="0" applyNumberFormat="1"/>
    <xf numFmtId="173" fontId="5" fillId="4" borderId="1" xfId="0" applyFont="1" applyFill="1" applyBorder="1" applyAlignment="1" applyProtection="1">
      <alignment horizontal="left"/>
      <protection locked="0" hidden="1"/>
    </xf>
    <xf numFmtId="173" fontId="5" fillId="4" borderId="1" xfId="0" applyFont="1" applyFill="1" applyBorder="1" applyAlignment="1" applyProtection="1">
      <alignment horizontal="center" vertical="center" wrapText="1"/>
      <protection locked="0" hidden="1"/>
    </xf>
    <xf numFmtId="173" fontId="5" fillId="7" borderId="1" xfId="0" applyFont="1" applyFill="1" applyBorder="1" applyAlignment="1">
      <alignment horizontal="center" vertical="center"/>
    </xf>
    <xf numFmtId="173" fontId="5" fillId="7" borderId="1" xfId="0" applyFont="1" applyFill="1" applyBorder="1" applyAlignment="1">
      <alignment horizontal="center"/>
    </xf>
    <xf numFmtId="3" fontId="0" fillId="0" borderId="1" xfId="0" applyNumberFormat="1" applyBorder="1"/>
    <xf numFmtId="173" fontId="5" fillId="0" borderId="0" xfId="0" applyFont="1" applyFill="1" applyBorder="1" applyAlignment="1">
      <alignment horizontal="center"/>
    </xf>
    <xf numFmtId="171" fontId="0" fillId="0" borderId="0" xfId="0" applyNumberFormat="1" applyBorder="1"/>
    <xf numFmtId="2" fontId="0" fillId="0" borderId="0" xfId="0" applyNumberFormat="1" applyBorder="1"/>
    <xf numFmtId="3" fontId="0" fillId="0" borderId="0" xfId="0" applyNumberFormat="1" applyBorder="1"/>
    <xf numFmtId="173" fontId="5" fillId="0" borderId="0" xfId="0" applyFont="1" applyFill="1" applyBorder="1" applyAlignment="1">
      <alignment horizontal="center" vertical="center" wrapText="1"/>
    </xf>
    <xf numFmtId="3" fontId="0" fillId="0" borderId="1" xfId="0" applyNumberFormat="1" applyFill="1" applyBorder="1"/>
    <xf numFmtId="173" fontId="5" fillId="0" borderId="0" xfId="0" applyFont="1" applyFill="1" applyBorder="1" applyAlignment="1" applyProtection="1">
      <alignment vertical="center" wrapText="1"/>
      <protection locked="0" hidden="1"/>
    </xf>
    <xf numFmtId="3" fontId="5" fillId="0" borderId="0" xfId="0" applyNumberFormat="1" applyFont="1" applyFill="1" applyBorder="1" applyAlignment="1" applyProtection="1">
      <alignment horizontal="center"/>
      <protection locked="0" hidden="1"/>
    </xf>
    <xf numFmtId="173" fontId="0" fillId="0" borderId="0" xfId="0" applyBorder="1"/>
    <xf numFmtId="2" fontId="0" fillId="0" borderId="0" xfId="0" applyNumberFormat="1" applyFill="1" applyBorder="1"/>
    <xf numFmtId="173" fontId="5" fillId="0" borderId="0" xfId="0" applyFont="1" applyFill="1" applyBorder="1" applyAlignment="1">
      <alignment horizontal="left"/>
    </xf>
    <xf numFmtId="2" fontId="5" fillId="0" borderId="0" xfId="0" applyNumberFormat="1" applyFont="1" applyFill="1" applyBorder="1"/>
    <xf numFmtId="2" fontId="0" fillId="0" borderId="0" xfId="0" applyNumberFormat="1" applyFont="1" applyFill="1" applyBorder="1"/>
    <xf numFmtId="1" fontId="0" fillId="4" borderId="1" xfId="0" applyNumberFormat="1" applyFill="1" applyBorder="1" applyProtection="1">
      <protection locked="0" hidden="1"/>
    </xf>
    <xf numFmtId="1" fontId="0" fillId="0" borderId="1" xfId="0" applyNumberFormat="1" applyFill="1" applyBorder="1" applyProtection="1">
      <protection locked="0" hidden="1"/>
    </xf>
    <xf numFmtId="168" fontId="0" fillId="5" borderId="8" xfId="0" applyNumberFormat="1" applyFill="1" applyBorder="1" applyProtection="1">
      <protection locked="0" hidden="1"/>
    </xf>
    <xf numFmtId="168" fontId="0" fillId="0" borderId="0" xfId="0" applyNumberFormat="1" applyFill="1" applyBorder="1" applyProtection="1">
      <protection locked="0" hidden="1"/>
    </xf>
    <xf numFmtId="173" fontId="10" fillId="0" borderId="0" xfId="0" applyFont="1"/>
    <xf numFmtId="3" fontId="0" fillId="0" borderId="1" xfId="0" applyNumberFormat="1" applyFill="1" applyBorder="1" applyProtection="1">
      <protection locked="0" hidden="1"/>
    </xf>
    <xf numFmtId="173" fontId="5" fillId="6" borderId="1" xfId="0" applyFont="1" applyFill="1" applyBorder="1" applyAlignment="1" applyProtection="1">
      <alignment horizontal="center" vertical="center" wrapText="1"/>
      <protection locked="0" hidden="1"/>
    </xf>
    <xf numFmtId="173" fontId="5" fillId="7" borderId="1" xfId="0" applyFont="1" applyFill="1" applyBorder="1" applyAlignment="1">
      <alignment horizontal="center"/>
    </xf>
    <xf numFmtId="173" fontId="5" fillId="4" borderId="1" xfId="0" applyFont="1" applyFill="1" applyBorder="1" applyAlignment="1" applyProtection="1">
      <alignment horizontal="center" vertical="center" wrapText="1"/>
      <protection locked="0" hidden="1"/>
    </xf>
    <xf numFmtId="173" fontId="5" fillId="6" borderId="1" xfId="0" applyFont="1" applyFill="1" applyBorder="1" applyAlignment="1" applyProtection="1">
      <alignment horizontal="center"/>
      <protection locked="0" hidden="1"/>
    </xf>
    <xf numFmtId="173" fontId="8" fillId="8" borderId="1" xfId="0" applyFont="1" applyFill="1" applyBorder="1" applyAlignment="1">
      <alignment horizontal="center"/>
    </xf>
    <xf numFmtId="173" fontId="4" fillId="3" borderId="3" xfId="1" applyFill="1" applyBorder="1" applyAlignment="1" applyProtection="1">
      <alignment horizontal="center" vertical="center"/>
    </xf>
    <xf numFmtId="166" fontId="0" fillId="0" borderId="0" xfId="0" applyNumberFormat="1" applyFill="1" applyBorder="1" applyProtection="1">
      <protection locked="0" hidden="1"/>
    </xf>
    <xf numFmtId="173" fontId="5" fillId="6" borderId="1" xfId="0" applyFont="1" applyFill="1" applyBorder="1" applyAlignment="1" applyProtection="1">
      <alignment horizontal="center" vertical="center"/>
      <protection locked="0" hidden="1"/>
    </xf>
    <xf numFmtId="173" fontId="0" fillId="0" borderId="1" xfId="0" applyFill="1" applyBorder="1" applyProtection="1">
      <protection locked="0" hidden="1"/>
    </xf>
    <xf numFmtId="17" fontId="0" fillId="0" borderId="1" xfId="0" applyNumberFormat="1" applyFill="1" applyBorder="1" applyProtection="1">
      <protection locked="0" hidden="1"/>
    </xf>
    <xf numFmtId="168" fontId="0" fillId="0" borderId="1" xfId="0" applyNumberFormat="1" applyFill="1" applyBorder="1"/>
    <xf numFmtId="173" fontId="5" fillId="0" borderId="1" xfId="0" applyFont="1" applyBorder="1" applyAlignment="1">
      <alignment horizontal="center" vertical="center"/>
    </xf>
    <xf numFmtId="3" fontId="0" fillId="0" borderId="5" xfId="0" applyNumberFormat="1" applyFont="1" applyFill="1" applyBorder="1" applyAlignment="1" applyProtection="1">
      <alignment horizontal="center"/>
      <protection locked="0" hidden="1"/>
    </xf>
    <xf numFmtId="3" fontId="0" fillId="0" borderId="1" xfId="0" applyNumberFormat="1" applyFont="1" applyFill="1" applyBorder="1" applyAlignment="1" applyProtection="1">
      <alignment horizontal="center"/>
      <protection locked="0" hidden="1"/>
    </xf>
    <xf numFmtId="173" fontId="5" fillId="0" borderId="0" xfId="0" applyFont="1"/>
    <xf numFmtId="173" fontId="5" fillId="7" borderId="1" xfId="0" applyFont="1" applyFill="1" applyBorder="1" applyAlignment="1">
      <alignment horizontal="center"/>
    </xf>
    <xf numFmtId="173" fontId="5" fillId="7" borderId="1" xfId="0" applyFont="1" applyFill="1" applyBorder="1" applyAlignment="1">
      <alignment horizontal="center" vertical="center" wrapText="1"/>
    </xf>
    <xf numFmtId="173" fontId="5" fillId="0" borderId="1" xfId="0" applyFont="1" applyFill="1" applyBorder="1" applyAlignment="1" applyProtection="1">
      <alignment horizontal="center" vertical="center" wrapText="1"/>
      <protection locked="0" hidden="1"/>
    </xf>
    <xf numFmtId="173" fontId="5" fillId="7" borderId="1" xfId="0" applyFont="1" applyFill="1" applyBorder="1" applyAlignment="1">
      <alignment horizontal="center"/>
    </xf>
    <xf numFmtId="173" fontId="5" fillId="0" borderId="1" xfId="0" applyFont="1" applyFill="1" applyBorder="1" applyAlignment="1" applyProtection="1">
      <alignment horizontal="center" vertical="center" wrapText="1"/>
      <protection locked="0" hidden="1"/>
    </xf>
    <xf numFmtId="173" fontId="0" fillId="0" borderId="0" xfId="0" applyFont="1" applyAlignment="1">
      <alignment horizontal="center"/>
    </xf>
    <xf numFmtId="173" fontId="0" fillId="0" borderId="0" xfId="0" applyFont="1" applyAlignment="1">
      <alignment horizontal="center" vertical="center"/>
    </xf>
    <xf numFmtId="173" fontId="0" fillId="8" borderId="0" xfId="0" applyFont="1" applyFill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171" fontId="0" fillId="0" borderId="1" xfId="0" applyNumberFormat="1" applyFont="1" applyBorder="1" applyAlignment="1">
      <alignment horizontal="center"/>
    </xf>
    <xf numFmtId="173" fontId="5" fillId="0" borderId="0" xfId="0" applyFont="1" applyFill="1" applyBorder="1" applyAlignment="1" applyProtection="1">
      <alignment horizontal="center" vertical="center" wrapText="1"/>
      <protection locked="0" hidden="1"/>
    </xf>
    <xf numFmtId="3" fontId="0" fillId="0" borderId="0" xfId="0" applyNumberFormat="1" applyFont="1" applyFill="1" applyBorder="1" applyAlignment="1" applyProtection="1">
      <alignment horizontal="center"/>
      <protection locked="0" hidden="1"/>
    </xf>
    <xf numFmtId="171" fontId="0" fillId="0" borderId="0" xfId="0" applyNumberFormat="1" applyFont="1" applyBorder="1" applyAlignment="1">
      <alignment horizontal="center"/>
    </xf>
    <xf numFmtId="173" fontId="0" fillId="0" borderId="0" xfId="0" applyAlignment="1">
      <alignment horizontal="center" vertical="center"/>
    </xf>
    <xf numFmtId="173" fontId="5" fillId="7" borderId="1" xfId="0" applyFont="1" applyFill="1" applyBorder="1" applyAlignment="1">
      <alignment horizontal="center" vertical="center"/>
    </xf>
    <xf numFmtId="173" fontId="5" fillId="0" borderId="0" xfId="0" applyFont="1" applyFill="1" applyBorder="1" applyAlignment="1">
      <alignment horizontal="center" vertical="center"/>
    </xf>
    <xf numFmtId="173" fontId="5" fillId="8" borderId="1" xfId="0" applyFont="1" applyFill="1" applyBorder="1" applyAlignment="1">
      <alignment horizontal="center" vertical="center"/>
    </xf>
    <xf numFmtId="173" fontId="5" fillId="0" borderId="1" xfId="0" applyFont="1" applyFill="1" applyBorder="1" applyAlignment="1" applyProtection="1">
      <alignment horizontal="center" wrapText="1"/>
      <protection locked="0" hidden="1"/>
    </xf>
    <xf numFmtId="171" fontId="0" fillId="8" borderId="1" xfId="0" applyNumberFormat="1" applyFill="1" applyBorder="1" applyAlignment="1">
      <alignment horizontal="center"/>
    </xf>
    <xf numFmtId="3" fontId="0" fillId="0" borderId="11" xfId="0" applyNumberFormat="1" applyFill="1" applyBorder="1" applyAlignment="1">
      <alignment horizontal="center"/>
    </xf>
    <xf numFmtId="2" fontId="5" fillId="0" borderId="8" xfId="0" applyNumberFormat="1" applyFont="1" applyBorder="1" applyAlignment="1"/>
    <xf numFmtId="2" fontId="0" fillId="8" borderId="1" xfId="0" applyNumberFormat="1" applyFont="1" applyFill="1" applyBorder="1" applyAlignment="1"/>
    <xf numFmtId="173" fontId="5" fillId="0" borderId="0" xfId="0" applyFont="1" applyBorder="1" applyAlignment="1"/>
    <xf numFmtId="173" fontId="5" fillId="0" borderId="1" xfId="0" applyFont="1" applyFill="1" applyBorder="1" applyAlignment="1">
      <alignment horizontal="center" vertical="center"/>
    </xf>
    <xf numFmtId="2" fontId="0" fillId="0" borderId="1" xfId="0" applyNumberFormat="1" applyFill="1" applyBorder="1" applyAlignment="1">
      <alignment vertical="center"/>
    </xf>
    <xf numFmtId="173" fontId="0" fillId="0" borderId="1" xfId="0" applyBorder="1" applyAlignment="1">
      <alignment vertical="center"/>
    </xf>
    <xf numFmtId="173" fontId="5" fillId="0" borderId="0" xfId="0" applyFont="1" applyBorder="1"/>
    <xf numFmtId="3" fontId="0" fillId="8" borderId="13" xfId="0" applyNumberFormat="1" applyFill="1" applyBorder="1" applyAlignment="1" applyProtection="1">
      <alignment horizontal="center"/>
      <protection locked="0"/>
    </xf>
    <xf numFmtId="17" fontId="3" fillId="8" borderId="13" xfId="2" applyNumberFormat="1" applyFill="1" applyBorder="1" applyAlignment="1">
      <alignment horizontal="center"/>
    </xf>
    <xf numFmtId="17" fontId="3" fillId="8" borderId="1" xfId="2" applyNumberFormat="1" applyFill="1" applyBorder="1" applyAlignment="1">
      <alignment horizontal="center" vertical="center"/>
    </xf>
    <xf numFmtId="3" fontId="0" fillId="0" borderId="8" xfId="0" applyNumberFormat="1" applyFill="1" applyBorder="1" applyAlignment="1">
      <alignment horizontal="center" vertical="center"/>
    </xf>
    <xf numFmtId="173" fontId="0" fillId="0" borderId="1" xfId="0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73" fontId="5" fillId="8" borderId="1" xfId="0" applyFont="1" applyFill="1" applyBorder="1" applyAlignment="1">
      <alignment horizontal="center"/>
    </xf>
    <xf numFmtId="173" fontId="0" fillId="0" borderId="0" xfId="0" applyFill="1" applyAlignment="1">
      <alignment horizontal="center" vertical="center"/>
    </xf>
    <xf numFmtId="173" fontId="0" fillId="0" borderId="0" xfId="0" applyBorder="1" applyAlignment="1">
      <alignment horizontal="center" vertical="center"/>
    </xf>
    <xf numFmtId="3" fontId="0" fillId="0" borderId="1" xfId="0" applyNumberFormat="1" applyFont="1" applyBorder="1" applyAlignment="1">
      <alignment horizontal="center"/>
    </xf>
    <xf numFmtId="173" fontId="11" fillId="0" borderId="0" xfId="0" applyFont="1" applyBorder="1" applyAlignment="1">
      <alignment horizontal="center" vertical="center"/>
    </xf>
    <xf numFmtId="165" fontId="11" fillId="0" borderId="0" xfId="0" applyNumberFormat="1" applyFont="1" applyBorder="1" applyAlignment="1">
      <alignment horizontal="center" vertical="center"/>
    </xf>
    <xf numFmtId="17" fontId="0" fillId="0" borderId="1" xfId="2" applyNumberFormat="1" applyFont="1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4" fontId="0" fillId="0" borderId="0" xfId="0" applyNumberForma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173" fontId="2" fillId="0" borderId="0" xfId="0" applyFont="1" applyBorder="1" applyAlignment="1">
      <alignment horizontal="center" vertical="center"/>
    </xf>
    <xf numFmtId="9" fontId="0" fillId="0" borderId="1" xfId="5" applyNumberFormat="1" applyFont="1" applyBorder="1" applyAlignment="1">
      <alignment horizontal="center" vertical="center"/>
    </xf>
    <xf numFmtId="9" fontId="0" fillId="0" borderId="1" xfId="5" applyFont="1" applyBorder="1" applyAlignment="1">
      <alignment horizontal="center" vertical="center"/>
    </xf>
    <xf numFmtId="173" fontId="0" fillId="0" borderId="1" xfId="0" applyNumberFormat="1" applyBorder="1" applyAlignment="1">
      <alignment horizontal="center" vertical="center"/>
    </xf>
    <xf numFmtId="3" fontId="5" fillId="0" borderId="0" xfId="0" applyNumberFormat="1" applyFont="1" applyFill="1" applyBorder="1" applyAlignment="1" applyProtection="1">
      <alignment horizontal="center" vertical="center"/>
      <protection locked="0" hidden="1"/>
    </xf>
    <xf numFmtId="170" fontId="0" fillId="0" borderId="1" xfId="5" applyNumberFormat="1" applyFont="1" applyBorder="1" applyAlignment="1">
      <alignment horizontal="center" vertical="center"/>
    </xf>
    <xf numFmtId="173" fontId="3" fillId="0" borderId="0" xfId="0" applyFont="1"/>
    <xf numFmtId="173" fontId="13" fillId="8" borderId="1" xfId="0" applyFont="1" applyFill="1" applyBorder="1" applyAlignment="1">
      <alignment horizontal="center" vertical="center" wrapText="1"/>
    </xf>
    <xf numFmtId="173" fontId="13" fillId="8" borderId="1" xfId="0" applyFont="1" applyFill="1" applyBorder="1" applyAlignment="1">
      <alignment horizontal="center" vertical="center"/>
    </xf>
    <xf numFmtId="173" fontId="0" fillId="0" borderId="0" xfId="0"/>
    <xf numFmtId="173" fontId="0" fillId="0" borderId="0" xfId="0" applyBorder="1" applyAlignment="1">
      <alignment horizontal="center"/>
    </xf>
    <xf numFmtId="170" fontId="0" fillId="0" borderId="0" xfId="5" applyNumberFormat="1" applyFont="1" applyBorder="1" applyAlignment="1">
      <alignment horizontal="center"/>
    </xf>
    <xf numFmtId="2" fontId="7" fillId="2" borderId="1" xfId="2" applyNumberFormat="1" applyFont="1" applyFill="1" applyBorder="1" applyAlignment="1">
      <alignment horizontal="center"/>
    </xf>
    <xf numFmtId="9" fontId="3" fillId="0" borderId="1" xfId="5" applyFont="1" applyBorder="1" applyAlignment="1">
      <alignment horizontal="center"/>
    </xf>
    <xf numFmtId="173" fontId="3" fillId="0" borderId="0" xfId="0" applyFont="1" applyAlignment="1">
      <alignment horizontal="center" vertical="center" wrapText="1"/>
    </xf>
    <xf numFmtId="173" fontId="3" fillId="2" borderId="0" xfId="0" applyFont="1" applyFill="1"/>
    <xf numFmtId="173" fontId="0" fillId="0" borderId="0" xfId="0" applyAlignment="1">
      <alignment horizontal="center"/>
    </xf>
    <xf numFmtId="173" fontId="0" fillId="0" borderId="0" xfId="0" applyAlignment="1" applyProtection="1">
      <alignment horizontal="center"/>
      <protection locked="0" hidden="1"/>
    </xf>
    <xf numFmtId="17" fontId="0" fillId="0" borderId="1" xfId="0" applyNumberFormat="1" applyFill="1" applyBorder="1" applyAlignment="1" applyProtection="1">
      <alignment horizontal="center"/>
      <protection locked="0" hidden="1"/>
    </xf>
    <xf numFmtId="39" fontId="0" fillId="0" borderId="1" xfId="0" applyNumberFormat="1" applyBorder="1" applyAlignment="1">
      <alignment horizontal="center"/>
    </xf>
    <xf numFmtId="1" fontId="0" fillId="0" borderId="1" xfId="0" applyNumberFormat="1" applyFill="1" applyBorder="1" applyAlignment="1" applyProtection="1">
      <alignment horizontal="center"/>
      <protection locked="0" hidden="1"/>
    </xf>
    <xf numFmtId="1" fontId="0" fillId="8" borderId="1" xfId="0" applyNumberFormat="1" applyFill="1" applyBorder="1" applyAlignment="1">
      <alignment horizontal="center"/>
    </xf>
    <xf numFmtId="173" fontId="0" fillId="2" borderId="1" xfId="0" applyFill="1" applyBorder="1" applyAlignment="1" applyProtection="1">
      <alignment horizontal="center"/>
      <protection locked="0" hidden="1"/>
    </xf>
    <xf numFmtId="168" fontId="0" fillId="2" borderId="1" xfId="0" applyNumberFormat="1" applyFill="1" applyBorder="1" applyAlignment="1" applyProtection="1">
      <alignment horizontal="center"/>
      <protection locked="0" hidden="1"/>
    </xf>
    <xf numFmtId="173" fontId="5" fillId="0" borderId="0" xfId="0" applyFont="1" applyFill="1" applyBorder="1" applyAlignment="1" applyProtection="1">
      <alignment horizontal="center"/>
      <protection locked="0" hidden="1"/>
    </xf>
    <xf numFmtId="166" fontId="0" fillId="0" borderId="0" xfId="0" applyNumberFormat="1" applyFill="1" applyBorder="1" applyAlignment="1" applyProtection="1">
      <alignment horizontal="center"/>
      <protection locked="0" hidden="1"/>
    </xf>
    <xf numFmtId="169" fontId="0" fillId="0" borderId="0" xfId="0" applyNumberFormat="1" applyAlignment="1">
      <alignment horizontal="center"/>
    </xf>
    <xf numFmtId="173" fontId="5" fillId="7" borderId="1" xfId="0" applyFont="1" applyFill="1" applyBorder="1" applyAlignment="1">
      <alignment horizontal="center" vertical="center"/>
    </xf>
    <xf numFmtId="173" fontId="5" fillId="7" borderId="1" xfId="0" applyFont="1" applyFill="1" applyBorder="1" applyAlignment="1" applyProtection="1">
      <alignment horizontal="center" vertical="center" wrapText="1"/>
      <protection locked="0" hidden="1"/>
    </xf>
    <xf numFmtId="173" fontId="6" fillId="7" borderId="2" xfId="4" applyFont="1" applyFill="1" applyBorder="1" applyAlignment="1">
      <alignment horizontal="center" vertical="center" wrapText="1"/>
    </xf>
    <xf numFmtId="17" fontId="0" fillId="2" borderId="1" xfId="0" applyNumberFormat="1" applyFont="1" applyFill="1" applyBorder="1" applyAlignment="1">
      <alignment horizontal="center" vertical="center"/>
    </xf>
    <xf numFmtId="173" fontId="12" fillId="2" borderId="7" xfId="0" applyFont="1" applyFill="1" applyBorder="1" applyAlignment="1">
      <alignment horizontal="center"/>
    </xf>
    <xf numFmtId="173" fontId="12" fillId="2" borderId="6" xfId="0" applyFont="1" applyFill="1" applyBorder="1" applyAlignment="1">
      <alignment horizontal="center"/>
    </xf>
    <xf numFmtId="168" fontId="0" fillId="0" borderId="5" xfId="0" applyNumberFormat="1" applyFont="1" applyFill="1" applyBorder="1" applyAlignment="1" applyProtection="1">
      <alignment horizontal="center"/>
      <protection locked="0" hidden="1"/>
    </xf>
    <xf numFmtId="168" fontId="0" fillId="0" borderId="1" xfId="0" applyNumberFormat="1" applyFont="1" applyFill="1" applyBorder="1" applyAlignment="1" applyProtection="1">
      <alignment horizontal="center"/>
      <protection locked="0" hidden="1"/>
    </xf>
    <xf numFmtId="1" fontId="0" fillId="0" borderId="5" xfId="0" applyNumberFormat="1" applyFont="1" applyFill="1" applyBorder="1" applyAlignment="1" applyProtection="1">
      <alignment horizontal="center"/>
      <protection locked="0" hidden="1"/>
    </xf>
    <xf numFmtId="1" fontId="0" fillId="0" borderId="1" xfId="0" applyNumberFormat="1" applyFont="1" applyFill="1" applyBorder="1" applyAlignment="1" applyProtection="1">
      <alignment horizontal="center"/>
      <protection locked="0" hidden="1"/>
    </xf>
    <xf numFmtId="173" fontId="12" fillId="2" borderId="1" xfId="0" applyFont="1" applyFill="1" applyBorder="1" applyAlignment="1">
      <alignment horizontal="center" wrapText="1"/>
    </xf>
    <xf numFmtId="173" fontId="13" fillId="2" borderId="1" xfId="0" applyFont="1" applyFill="1" applyBorder="1" applyAlignment="1">
      <alignment horizontal="center" wrapText="1"/>
    </xf>
    <xf numFmtId="3" fontId="13" fillId="2" borderId="1" xfId="0" applyNumberFormat="1" applyFont="1" applyFill="1" applyBorder="1" applyAlignment="1">
      <alignment horizontal="center" wrapText="1"/>
    </xf>
    <xf numFmtId="173" fontId="12" fillId="7" borderId="1" xfId="0" applyFont="1" applyFill="1" applyBorder="1" applyAlignment="1">
      <alignment horizontal="center" wrapText="1"/>
    </xf>
    <xf numFmtId="3" fontId="0" fillId="2" borderId="1" xfId="0" applyNumberFormat="1" applyFont="1" applyFill="1" applyBorder="1" applyAlignment="1">
      <alignment horizontal="center"/>
    </xf>
    <xf numFmtId="4" fontId="0" fillId="0" borderId="1" xfId="0" applyNumberFormat="1" applyFont="1" applyBorder="1" applyAlignment="1">
      <alignment horizontal="center"/>
    </xf>
    <xf numFmtId="168" fontId="0" fillId="0" borderId="1" xfId="0" applyNumberFormat="1" applyFont="1" applyBorder="1" applyAlignment="1">
      <alignment horizontal="center"/>
    </xf>
    <xf numFmtId="1" fontId="0" fillId="0" borderId="1" xfId="0" applyNumberFormat="1" applyFont="1" applyBorder="1" applyAlignment="1">
      <alignment horizontal="center"/>
    </xf>
    <xf numFmtId="1" fontId="0" fillId="0" borderId="0" xfId="0" applyNumberFormat="1" applyFont="1" applyAlignment="1">
      <alignment horizontal="center"/>
    </xf>
    <xf numFmtId="173" fontId="8" fillId="0" borderId="0" xfId="0" applyFont="1"/>
    <xf numFmtId="173" fontId="0" fillId="7" borderId="1" xfId="0" applyFill="1" applyBorder="1" applyAlignment="1">
      <alignment horizontal="center" vertical="center"/>
    </xf>
    <xf numFmtId="3" fontId="0" fillId="0" borderId="1" xfId="0" applyNumberFormat="1" applyFont="1" applyBorder="1" applyAlignment="1">
      <alignment horizontal="center" vertical="center"/>
    </xf>
    <xf numFmtId="3" fontId="0" fillId="0" borderId="1" xfId="0" applyNumberFormat="1" applyFont="1" applyFill="1" applyBorder="1" applyAlignment="1" applyProtection="1">
      <alignment horizontal="center" vertical="center"/>
      <protection locked="0" hidden="1"/>
    </xf>
    <xf numFmtId="173" fontId="7" fillId="8" borderId="1" xfId="0" applyFont="1" applyFill="1" applyBorder="1" applyAlignment="1">
      <alignment horizontal="center"/>
    </xf>
    <xf numFmtId="173" fontId="0" fillId="2" borderId="0" xfId="0" applyFont="1" applyFill="1" applyAlignment="1">
      <alignment horizontal="center" vertical="center"/>
    </xf>
    <xf numFmtId="173" fontId="0" fillId="2" borderId="0" xfId="0" applyFont="1" applyFill="1" applyAlignment="1">
      <alignment horizontal="center"/>
    </xf>
    <xf numFmtId="173" fontId="12" fillId="2" borderId="1" xfId="0" applyFont="1" applyFill="1" applyBorder="1" applyAlignment="1">
      <alignment horizontal="center" vertical="center"/>
    </xf>
    <xf numFmtId="173" fontId="13" fillId="2" borderId="1" xfId="0" applyFont="1" applyFill="1" applyBorder="1" applyAlignment="1">
      <alignment horizontal="center" vertical="center"/>
    </xf>
    <xf numFmtId="173" fontId="12" fillId="0" borderId="1" xfId="0" applyFont="1" applyBorder="1" applyAlignment="1">
      <alignment horizontal="center" vertical="center"/>
    </xf>
    <xf numFmtId="173" fontId="12" fillId="11" borderId="1" xfId="0" applyFont="1" applyFill="1" applyBorder="1" applyAlignment="1">
      <alignment horizontal="center" vertical="center"/>
    </xf>
    <xf numFmtId="173" fontId="12" fillId="11" borderId="1" xfId="0" applyFont="1" applyFill="1" applyBorder="1" applyAlignment="1">
      <alignment horizontal="center" vertical="center" wrapText="1"/>
    </xf>
    <xf numFmtId="173" fontId="13" fillId="11" borderId="1" xfId="0" applyFont="1" applyFill="1" applyBorder="1" applyAlignment="1">
      <alignment horizontal="center" vertical="center" wrapText="1"/>
    </xf>
    <xf numFmtId="20" fontId="13" fillId="8" borderId="1" xfId="0" applyNumberFormat="1" applyFont="1" applyFill="1" applyBorder="1" applyAlignment="1">
      <alignment horizontal="center" vertical="center" wrapText="1"/>
    </xf>
    <xf numFmtId="2" fontId="0" fillId="7" borderId="1" xfId="0" applyNumberFormat="1" applyFill="1" applyBorder="1" applyAlignment="1">
      <alignment vertical="center"/>
    </xf>
    <xf numFmtId="173" fontId="0" fillId="7" borderId="1" xfId="0" applyFill="1" applyBorder="1" applyAlignment="1">
      <alignment vertical="center"/>
    </xf>
    <xf numFmtId="2" fontId="0" fillId="7" borderId="1" xfId="0" applyNumberFormat="1" applyFill="1" applyBorder="1" applyAlignment="1">
      <alignment horizontal="center" vertical="center"/>
    </xf>
    <xf numFmtId="2" fontId="0" fillId="7" borderId="1" xfId="0" applyNumberFormat="1" applyFon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173" fontId="0" fillId="2" borderId="1" xfId="0" applyFont="1" applyFill="1" applyBorder="1" applyAlignment="1">
      <alignment horizontal="center" vertical="center"/>
    </xf>
    <xf numFmtId="0" fontId="13" fillId="8" borderId="1" xfId="0" applyNumberFormat="1" applyFont="1" applyFill="1" applyBorder="1" applyAlignment="1">
      <alignment horizontal="center" vertical="center"/>
    </xf>
    <xf numFmtId="0" fontId="0" fillId="7" borderId="1" xfId="0" applyNumberFormat="1" applyFill="1" applyBorder="1" applyAlignment="1">
      <alignment vertical="center"/>
    </xf>
    <xf numFmtId="0" fontId="0" fillId="2" borderId="1" xfId="0" applyNumberFormat="1" applyFill="1" applyBorder="1" applyAlignment="1">
      <alignment horizontal="center" vertical="center"/>
    </xf>
    <xf numFmtId="1" fontId="0" fillId="0" borderId="0" xfId="0" applyNumberFormat="1"/>
    <xf numFmtId="0" fontId="8" fillId="8" borderId="1" xfId="0" applyNumberFormat="1" applyFont="1" applyFill="1" applyBorder="1" applyAlignment="1">
      <alignment horizontal="center"/>
    </xf>
    <xf numFmtId="1" fontId="8" fillId="8" borderId="1" xfId="0" applyNumberFormat="1" applyFont="1" applyFill="1" applyBorder="1" applyAlignment="1">
      <alignment horizontal="center"/>
    </xf>
    <xf numFmtId="173" fontId="8" fillId="0" borderId="1" xfId="0" applyFont="1" applyBorder="1"/>
    <xf numFmtId="9" fontId="0" fillId="2" borderId="1" xfId="5" applyFont="1" applyFill="1" applyBorder="1" applyAlignment="1" applyProtection="1">
      <alignment horizontal="center"/>
      <protection locked="0" hidden="1"/>
    </xf>
    <xf numFmtId="172" fontId="0" fillId="2" borderId="10" xfId="6" applyNumberFormat="1" applyFont="1" applyFill="1" applyBorder="1" applyAlignment="1">
      <alignment horizontal="center"/>
    </xf>
    <xf numFmtId="171" fontId="0" fillId="2" borderId="1" xfId="0" applyNumberFormat="1" applyFill="1" applyBorder="1" applyAlignment="1">
      <alignment horizontal="center"/>
    </xf>
    <xf numFmtId="169" fontId="0" fillId="0" borderId="1" xfId="0" applyNumberFormat="1" applyFont="1" applyBorder="1" applyAlignment="1">
      <alignment horizontal="center"/>
    </xf>
    <xf numFmtId="173" fontId="5" fillId="7" borderId="8" xfId="0" applyFont="1" applyFill="1" applyBorder="1" applyAlignment="1" applyProtection="1">
      <alignment horizontal="center" vertical="center" wrapText="1"/>
      <protection locked="0" hidden="1"/>
    </xf>
    <xf numFmtId="173" fontId="5" fillId="7" borderId="1" xfId="0" applyFont="1" applyFill="1" applyBorder="1" applyAlignment="1" applyProtection="1">
      <alignment horizontal="center" vertical="center" wrapText="1"/>
      <protection locked="0" hidden="1"/>
    </xf>
    <xf numFmtId="17" fontId="0" fillId="2" borderId="1" xfId="0" applyNumberFormat="1" applyFill="1" applyBorder="1" applyAlignment="1">
      <alignment horizontal="center"/>
    </xf>
    <xf numFmtId="3" fontId="3" fillId="2" borderId="1" xfId="2" applyNumberFormat="1" applyFill="1" applyBorder="1" applyAlignment="1" applyProtection="1">
      <alignment horizontal="center" vertical="center"/>
      <protection locked="0"/>
    </xf>
    <xf numFmtId="17" fontId="3" fillId="2" borderId="1" xfId="2" applyNumberFormat="1" applyFill="1" applyBorder="1" applyAlignment="1">
      <alignment horizontal="center"/>
    </xf>
    <xf numFmtId="39" fontId="0" fillId="2" borderId="1" xfId="0" applyNumberFormat="1" applyFill="1" applyBorder="1" applyAlignment="1">
      <alignment horizontal="center"/>
    </xf>
    <xf numFmtId="3" fontId="0" fillId="2" borderId="1" xfId="0" applyNumberFormat="1" applyFill="1" applyBorder="1"/>
    <xf numFmtId="17" fontId="3" fillId="2" borderId="13" xfId="2" applyNumberFormat="1" applyFill="1" applyBorder="1" applyAlignment="1">
      <alignment horizontal="center"/>
    </xf>
    <xf numFmtId="3" fontId="0" fillId="2" borderId="13" xfId="0" applyNumberFormat="1" applyFill="1" applyBorder="1" applyAlignment="1" applyProtection="1">
      <alignment horizontal="center"/>
      <protection locked="0"/>
    </xf>
    <xf numFmtId="3" fontId="0" fillId="2" borderId="11" xfId="0" applyNumberFormat="1" applyFill="1" applyBorder="1" applyAlignment="1">
      <alignment horizontal="center"/>
    </xf>
    <xf numFmtId="17" fontId="3" fillId="2" borderId="1" xfId="2" applyNumberFormat="1" applyFill="1" applyBorder="1" applyAlignment="1">
      <alignment horizontal="center" vertical="center"/>
    </xf>
    <xf numFmtId="17" fontId="3" fillId="2" borderId="1" xfId="2" applyNumberFormat="1" applyFill="1" applyBorder="1"/>
    <xf numFmtId="17" fontId="0" fillId="2" borderId="1" xfId="0" applyNumberFormat="1" applyFill="1" applyBorder="1" applyAlignment="1" applyProtection="1">
      <alignment horizontal="center"/>
      <protection locked="0" hidden="1"/>
    </xf>
    <xf numFmtId="1" fontId="0" fillId="2" borderId="1" xfId="0" applyNumberFormat="1" applyFill="1" applyBorder="1" applyAlignment="1" applyProtection="1">
      <alignment horizontal="center"/>
      <protection locked="0" hidden="1"/>
    </xf>
    <xf numFmtId="1" fontId="0" fillId="2" borderId="1" xfId="0" applyNumberFormat="1" applyFill="1" applyBorder="1" applyAlignment="1">
      <alignment horizontal="center"/>
    </xf>
    <xf numFmtId="4" fontId="0" fillId="0" borderId="5" xfId="0" applyNumberFormat="1" applyFont="1" applyFill="1" applyBorder="1" applyAlignment="1" applyProtection="1">
      <alignment horizontal="center"/>
      <protection locked="0" hidden="1"/>
    </xf>
    <xf numFmtId="4" fontId="0" fillId="0" borderId="1" xfId="0" applyNumberFormat="1" applyFont="1" applyFill="1" applyBorder="1" applyAlignment="1" applyProtection="1">
      <alignment horizontal="center"/>
      <protection locked="0" hidden="1"/>
    </xf>
    <xf numFmtId="4" fontId="13" fillId="2" borderId="1" xfId="0" applyNumberFormat="1" applyFont="1" applyFill="1" applyBorder="1" applyAlignment="1">
      <alignment horizontal="center" wrapText="1"/>
    </xf>
    <xf numFmtId="0" fontId="3" fillId="7" borderId="1" xfId="0" applyNumberFormat="1" applyFont="1" applyFill="1" applyBorder="1" applyAlignment="1">
      <alignment horizontal="center"/>
    </xf>
    <xf numFmtId="173" fontId="20" fillId="8" borderId="1" xfId="2" applyFont="1" applyFill="1" applyBorder="1"/>
    <xf numFmtId="173" fontId="20" fillId="8" borderId="1" xfId="3" applyFont="1" applyFill="1" applyBorder="1" applyAlignment="1">
      <alignment horizontal="center"/>
    </xf>
    <xf numFmtId="0" fontId="20" fillId="8" borderId="1" xfId="3" applyNumberFormat="1" applyFont="1" applyFill="1" applyBorder="1" applyAlignment="1">
      <alignment horizontal="center"/>
    </xf>
    <xf numFmtId="173" fontId="5" fillId="7" borderId="1" xfId="0" applyFont="1" applyFill="1" applyBorder="1" applyAlignment="1" applyProtection="1">
      <alignment horizontal="center" wrapText="1"/>
      <protection locked="0" hidden="1"/>
    </xf>
    <xf numFmtId="173" fontId="5" fillId="7" borderId="1" xfId="0" applyFont="1" applyFill="1" applyBorder="1" applyAlignment="1" applyProtection="1">
      <alignment horizontal="center" vertical="center" wrapText="1"/>
      <protection locked="0" hidden="1"/>
    </xf>
    <xf numFmtId="1" fontId="15" fillId="2" borderId="1" xfId="0" applyNumberFormat="1" applyFont="1" applyFill="1" applyBorder="1" applyAlignment="1">
      <alignment horizontal="center"/>
    </xf>
    <xf numFmtId="2" fontId="15" fillId="2" borderId="1" xfId="0" applyNumberFormat="1" applyFont="1" applyFill="1" applyBorder="1" applyAlignment="1">
      <alignment horizontal="center"/>
    </xf>
    <xf numFmtId="173" fontId="0" fillId="7" borderId="8" xfId="0" applyFill="1" applyBorder="1" applyAlignment="1" applyProtection="1">
      <alignment wrapText="1"/>
      <protection locked="0" hidden="1"/>
    </xf>
    <xf numFmtId="173" fontId="0" fillId="7" borderId="9" xfId="0" applyFill="1" applyBorder="1" applyAlignment="1" applyProtection="1">
      <alignment wrapText="1"/>
      <protection locked="0" hidden="1"/>
    </xf>
    <xf numFmtId="173" fontId="5" fillId="7" borderId="1" xfId="0" applyFont="1" applyFill="1" applyBorder="1" applyAlignment="1" applyProtection="1">
      <alignment wrapText="1"/>
      <protection locked="0" hidden="1"/>
    </xf>
    <xf numFmtId="171" fontId="3" fillId="2" borderId="1" xfId="2" applyNumberFormat="1" applyFill="1" applyBorder="1" applyAlignment="1">
      <alignment horizontal="center"/>
    </xf>
    <xf numFmtId="39" fontId="3" fillId="2" borderId="1" xfId="2" applyNumberFormat="1" applyFill="1" applyBorder="1" applyAlignment="1">
      <alignment horizontal="center"/>
    </xf>
    <xf numFmtId="173" fontId="6" fillId="2" borderId="1" xfId="0" applyFont="1" applyFill="1" applyBorder="1" applyAlignment="1">
      <alignment horizontal="center" vertical="center" wrapText="1"/>
    </xf>
    <xf numFmtId="173" fontId="6" fillId="2" borderId="1" xfId="0" applyFont="1" applyFill="1" applyBorder="1" applyAlignment="1">
      <alignment horizontal="center" vertical="center"/>
    </xf>
    <xf numFmtId="173" fontId="6" fillId="2" borderId="1" xfId="0" applyFont="1" applyFill="1" applyBorder="1" applyAlignment="1" applyProtection="1">
      <alignment horizontal="center" vertical="center" wrapText="1"/>
      <protection locked="0" hidden="1"/>
    </xf>
    <xf numFmtId="173" fontId="15" fillId="0" borderId="0" xfId="0" applyFont="1" applyAlignment="1">
      <alignment horizontal="center"/>
    </xf>
    <xf numFmtId="168" fontId="15" fillId="2" borderId="1" xfId="0" applyNumberFormat="1" applyFont="1" applyFill="1" applyBorder="1" applyAlignment="1" applyProtection="1">
      <alignment horizontal="center"/>
      <protection locked="0" hidden="1"/>
    </xf>
    <xf numFmtId="166" fontId="0" fillId="7" borderId="1" xfId="0" applyNumberFormat="1" applyFill="1" applyBorder="1" applyAlignment="1" applyProtection="1">
      <alignment horizontal="center" wrapText="1"/>
      <protection locked="0" hidden="1"/>
    </xf>
    <xf numFmtId="2" fontId="0" fillId="7" borderId="1" xfId="0" applyNumberFormat="1" applyFill="1" applyBorder="1" applyAlignment="1" applyProtection="1">
      <alignment horizontal="center" wrapText="1"/>
      <protection locked="0" hidden="1"/>
    </xf>
    <xf numFmtId="173" fontId="0" fillId="8" borderId="1" xfId="0" applyFill="1" applyBorder="1" applyAlignment="1">
      <alignment horizontal="center"/>
    </xf>
    <xf numFmtId="173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1" fontId="0" fillId="7" borderId="1" xfId="0" applyNumberFormat="1" applyFill="1" applyBorder="1" applyAlignment="1">
      <alignment horizontal="center"/>
    </xf>
    <xf numFmtId="1" fontId="0" fillId="7" borderId="1" xfId="0" applyNumberFormat="1" applyFill="1" applyBorder="1" applyAlignment="1" applyProtection="1">
      <alignment horizontal="center"/>
      <protection locked="0" hidden="1"/>
    </xf>
    <xf numFmtId="173" fontId="5" fillId="7" borderId="1" xfId="0" applyFont="1" applyFill="1" applyBorder="1" applyAlignment="1" applyProtection="1">
      <protection locked="0" hidden="1"/>
    </xf>
    <xf numFmtId="173" fontId="0" fillId="12" borderId="0" xfId="0" applyFont="1" applyFill="1" applyAlignment="1">
      <alignment horizontal="center"/>
    </xf>
    <xf numFmtId="173" fontId="5" fillId="10" borderId="1" xfId="0" applyFont="1" applyFill="1" applyBorder="1" applyAlignment="1">
      <alignment horizontal="left" vertical="top"/>
    </xf>
    <xf numFmtId="166" fontId="0" fillId="0" borderId="1" xfId="0" applyNumberFormat="1" applyFont="1" applyBorder="1" applyAlignment="1">
      <alignment horizontal="center"/>
    </xf>
    <xf numFmtId="173" fontId="5" fillId="7" borderId="1" xfId="0" applyFont="1" applyFill="1" applyBorder="1" applyAlignment="1">
      <alignment horizontal="center" vertical="center"/>
    </xf>
    <xf numFmtId="173" fontId="5" fillId="7" borderId="1" xfId="0" applyFont="1" applyFill="1" applyBorder="1" applyAlignment="1">
      <alignment horizontal="center"/>
    </xf>
    <xf numFmtId="2" fontId="5" fillId="0" borderId="10" xfId="0" applyNumberFormat="1" applyFont="1" applyBorder="1" applyAlignment="1"/>
    <xf numFmtId="44" fontId="0" fillId="2" borderId="1" xfId="6" applyFont="1" applyFill="1" applyBorder="1" applyAlignment="1">
      <alignment horizontal="center"/>
    </xf>
    <xf numFmtId="44" fontId="0" fillId="2" borderId="1" xfId="0" applyNumberFormat="1" applyFill="1" applyBorder="1" applyAlignment="1">
      <alignment horizontal="center"/>
    </xf>
    <xf numFmtId="174" fontId="3" fillId="2" borderId="1" xfId="2" applyNumberFormat="1" applyFill="1" applyBorder="1" applyAlignment="1">
      <alignment horizontal="center"/>
    </xf>
    <xf numFmtId="174" fontId="0" fillId="2" borderId="1" xfId="0" applyNumberFormat="1" applyFill="1" applyBorder="1" applyAlignment="1">
      <alignment horizontal="center"/>
    </xf>
    <xf numFmtId="173" fontId="0" fillId="0" borderId="0" xfId="0" applyFill="1" applyBorder="1"/>
    <xf numFmtId="173" fontId="5" fillId="0" borderId="0" xfId="0" applyFont="1" applyFill="1" applyBorder="1" applyAlignment="1"/>
    <xf numFmtId="3" fontId="3" fillId="0" borderId="0" xfId="2" applyNumberFormat="1" applyFill="1" applyBorder="1" applyAlignment="1" applyProtection="1">
      <alignment horizontal="center"/>
      <protection locked="0"/>
    </xf>
    <xf numFmtId="3" fontId="0" fillId="0" borderId="0" xfId="0" applyNumberFormat="1" applyFont="1" applyFill="1" applyBorder="1" applyAlignment="1">
      <alignment horizontal="center"/>
    </xf>
    <xf numFmtId="173" fontId="5" fillId="7" borderId="8" xfId="0" applyFont="1" applyFill="1" applyBorder="1" applyAlignment="1">
      <alignment horizontal="center"/>
    </xf>
    <xf numFmtId="173" fontId="5" fillId="7" borderId="9" xfId="0" applyFont="1" applyFill="1" applyBorder="1" applyAlignment="1">
      <alignment horizontal="center"/>
    </xf>
    <xf numFmtId="173" fontId="5" fillId="7" borderId="8" xfId="0" applyFont="1" applyFill="1" applyBorder="1" applyAlignment="1">
      <alignment horizontal="center" vertical="center"/>
    </xf>
    <xf numFmtId="173" fontId="5" fillId="7" borderId="9" xfId="0" applyFont="1" applyFill="1" applyBorder="1" applyAlignment="1">
      <alignment horizontal="center" vertical="center"/>
    </xf>
    <xf numFmtId="173" fontId="5" fillId="7" borderId="10" xfId="0" applyFont="1" applyFill="1" applyBorder="1" applyAlignment="1">
      <alignment horizontal="center" vertical="center"/>
    </xf>
    <xf numFmtId="173" fontId="5" fillId="7" borderId="1" xfId="0" applyFont="1" applyFill="1" applyBorder="1" applyAlignment="1">
      <alignment horizontal="center"/>
    </xf>
    <xf numFmtId="3" fontId="3" fillId="2" borderId="1" xfId="2" applyNumberFormat="1" applyFill="1" applyBorder="1" applyAlignment="1" applyProtection="1">
      <alignment horizontal="center"/>
      <protection locked="0"/>
    </xf>
    <xf numFmtId="173" fontId="5" fillId="7" borderId="1" xfId="0" applyFont="1" applyFill="1" applyBorder="1" applyAlignment="1">
      <alignment horizontal="center"/>
    </xf>
    <xf numFmtId="2" fontId="4" fillId="0" borderId="14" xfId="1" applyNumberFormat="1" applyFill="1" applyBorder="1" applyAlignment="1" applyProtection="1">
      <alignment horizontal="center" vertical="center" wrapText="1"/>
    </xf>
    <xf numFmtId="2" fontId="4" fillId="0" borderId="15" xfId="1" applyNumberFormat="1" applyFill="1" applyBorder="1" applyAlignment="1" applyProtection="1">
      <alignment horizontal="center" vertical="center" wrapText="1"/>
    </xf>
    <xf numFmtId="173" fontId="5" fillId="0" borderId="8" xfId="0" applyFont="1" applyBorder="1" applyAlignment="1">
      <alignment horizontal="center" vertical="center"/>
    </xf>
    <xf numFmtId="173" fontId="5" fillId="0" borderId="10" xfId="0" applyFont="1" applyBorder="1" applyAlignment="1">
      <alignment horizontal="center" vertical="center"/>
    </xf>
    <xf numFmtId="173" fontId="5" fillId="0" borderId="1" xfId="0" applyFont="1" applyFill="1" applyBorder="1" applyAlignment="1">
      <alignment horizontal="center" vertical="center"/>
    </xf>
    <xf numFmtId="173" fontId="5" fillId="7" borderId="1" xfId="0" applyFont="1" applyFill="1" applyBorder="1" applyAlignment="1">
      <alignment horizontal="center" vertical="center"/>
    </xf>
    <xf numFmtId="173" fontId="5" fillId="0" borderId="8" xfId="0" applyFont="1" applyFill="1" applyBorder="1" applyAlignment="1">
      <alignment horizontal="center" vertical="center"/>
    </xf>
    <xf numFmtId="173" fontId="5" fillId="0" borderId="10" xfId="0" applyFont="1" applyFill="1" applyBorder="1" applyAlignment="1">
      <alignment horizontal="center" vertical="center"/>
    </xf>
    <xf numFmtId="173" fontId="5" fillId="7" borderId="8" xfId="0" applyFont="1" applyFill="1" applyBorder="1" applyAlignment="1">
      <alignment horizontal="center"/>
    </xf>
    <xf numFmtId="173" fontId="5" fillId="7" borderId="9" xfId="0" applyFont="1" applyFill="1" applyBorder="1" applyAlignment="1">
      <alignment horizontal="center"/>
    </xf>
    <xf numFmtId="173" fontId="5" fillId="7" borderId="1" xfId="0" applyFont="1" applyFill="1" applyBorder="1" applyAlignment="1">
      <alignment horizontal="center"/>
    </xf>
    <xf numFmtId="173" fontId="5" fillId="7" borderId="1" xfId="0" applyFont="1" applyFill="1" applyBorder="1" applyAlignment="1" applyProtection="1">
      <alignment horizontal="center" vertical="center" wrapText="1"/>
      <protection locked="0" hidden="1"/>
    </xf>
    <xf numFmtId="173" fontId="0" fillId="7" borderId="1" xfId="0" applyFill="1" applyBorder="1" applyAlignment="1">
      <alignment horizontal="center"/>
    </xf>
    <xf numFmtId="2" fontId="4" fillId="0" borderId="0" xfId="1" applyNumberFormat="1" applyFill="1" applyBorder="1" applyAlignment="1" applyProtection="1">
      <alignment horizontal="center" vertical="center" wrapText="1"/>
    </xf>
    <xf numFmtId="171" fontId="0" fillId="0" borderId="1" xfId="0" applyNumberFormat="1" applyFill="1" applyBorder="1" applyAlignment="1">
      <alignment horizontal="center"/>
    </xf>
    <xf numFmtId="173" fontId="0" fillId="0" borderId="0" xfId="0" applyFill="1" applyBorder="1" applyAlignment="1">
      <alignment vertical="center"/>
    </xf>
    <xf numFmtId="173" fontId="5" fillId="0" borderId="0" xfId="0" applyFont="1" applyFill="1" applyBorder="1" applyAlignment="1" applyProtection="1">
      <alignment horizontal="center" wrapText="1"/>
      <protection locked="0" hidden="1"/>
    </xf>
    <xf numFmtId="171" fontId="0" fillId="0" borderId="0" xfId="0" applyNumberFormat="1" applyFont="1" applyFill="1" applyBorder="1" applyAlignment="1">
      <alignment horizontal="center"/>
    </xf>
    <xf numFmtId="173" fontId="23" fillId="0" borderId="0" xfId="0" applyFont="1" applyFill="1" applyBorder="1"/>
    <xf numFmtId="173" fontId="5" fillId="0" borderId="9" xfId="0" applyFont="1" applyFill="1" applyBorder="1" applyAlignment="1">
      <alignment horizontal="center" vertical="center"/>
    </xf>
    <xf numFmtId="173" fontId="5" fillId="0" borderId="12" xfId="0" applyFont="1" applyFill="1" applyBorder="1" applyAlignment="1">
      <alignment horizontal="center" vertical="center"/>
    </xf>
    <xf numFmtId="17" fontId="3" fillId="0" borderId="1" xfId="2" applyNumberForma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2" fontId="0" fillId="0" borderId="10" xfId="0" applyNumberFormat="1" applyFill="1" applyBorder="1" applyAlignment="1">
      <alignment horizontal="center" vertical="center"/>
    </xf>
    <xf numFmtId="173" fontId="0" fillId="0" borderId="10" xfId="0" applyFill="1" applyBorder="1" applyAlignment="1">
      <alignment horizontal="center" vertical="center"/>
    </xf>
    <xf numFmtId="2" fontId="4" fillId="0" borderId="0" xfId="1" applyNumberFormat="1" applyFill="1" applyBorder="1" applyAlignment="1" applyProtection="1">
      <alignment vertical="center" wrapText="1"/>
    </xf>
    <xf numFmtId="173" fontId="0" fillId="0" borderId="0" xfId="0" applyFill="1" applyBorder="1" applyAlignment="1">
      <alignment horizontal="center"/>
    </xf>
    <xf numFmtId="173" fontId="0" fillId="0" borderId="0" xfId="0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3" fontId="0" fillId="0" borderId="1" xfId="0" applyNumberFormat="1" applyFont="1" applyFill="1" applyBorder="1" applyAlignment="1">
      <alignment horizontal="center"/>
    </xf>
    <xf numFmtId="173" fontId="0" fillId="0" borderId="0" xfId="0" applyBorder="1" applyAlignment="1">
      <alignment vertical="center"/>
    </xf>
    <xf numFmtId="170" fontId="0" fillId="0" borderId="0" xfId="5" applyNumberFormat="1" applyFont="1" applyBorder="1" applyAlignment="1">
      <alignment horizontal="center" vertical="center"/>
    </xf>
    <xf numFmtId="9" fontId="0" fillId="0" borderId="0" xfId="5" applyFont="1" applyBorder="1" applyAlignment="1">
      <alignment horizontal="center" vertical="center"/>
    </xf>
    <xf numFmtId="173" fontId="5" fillId="7" borderId="18" xfId="0" applyFont="1" applyFill="1" applyBorder="1" applyAlignment="1" applyProtection="1">
      <alignment horizontal="center" vertical="center" wrapText="1"/>
      <protection locked="0" hidden="1"/>
    </xf>
    <xf numFmtId="175" fontId="13" fillId="2" borderId="1" xfId="0" applyNumberFormat="1" applyFont="1" applyFill="1" applyBorder="1" applyAlignment="1">
      <alignment horizontal="center" wrapText="1"/>
    </xf>
    <xf numFmtId="176" fontId="0" fillId="0" borderId="5" xfId="0" applyNumberFormat="1" applyFont="1" applyFill="1" applyBorder="1" applyAlignment="1" applyProtection="1">
      <alignment horizontal="center"/>
      <protection locked="0" hidden="1"/>
    </xf>
    <xf numFmtId="176" fontId="0" fillId="0" borderId="1" xfId="0" applyNumberFormat="1" applyFont="1" applyFill="1" applyBorder="1" applyAlignment="1" applyProtection="1">
      <alignment horizontal="center"/>
      <protection locked="0" hidden="1"/>
    </xf>
    <xf numFmtId="0" fontId="6" fillId="7" borderId="2" xfId="4" applyNumberFormat="1" applyFont="1" applyFill="1" applyBorder="1" applyAlignment="1">
      <alignment horizontal="center" vertical="center" wrapText="1"/>
    </xf>
    <xf numFmtId="0" fontId="3" fillId="0" borderId="0" xfId="0" applyNumberFormat="1" applyFont="1"/>
    <xf numFmtId="0" fontId="3" fillId="0" borderId="0" xfId="0" applyNumberFormat="1" applyFont="1" applyAlignment="1">
      <alignment horizontal="center" vertical="center" wrapText="1"/>
    </xf>
    <xf numFmtId="2" fontId="20" fillId="8" borderId="1" xfId="3" applyNumberFormat="1" applyFont="1" applyFill="1" applyBorder="1" applyAlignment="1">
      <alignment horizontal="center"/>
    </xf>
    <xf numFmtId="3" fontId="3" fillId="7" borderId="1" xfId="0" applyNumberFormat="1" applyFont="1" applyFill="1" applyBorder="1" applyAlignment="1">
      <alignment horizontal="center"/>
    </xf>
    <xf numFmtId="173" fontId="6" fillId="7" borderId="1" xfId="4" applyFont="1" applyFill="1" applyBorder="1" applyAlignment="1">
      <alignment horizontal="center" vertical="center" wrapText="1"/>
    </xf>
    <xf numFmtId="0" fontId="0" fillId="8" borderId="1" xfId="0" applyNumberFormat="1" applyFill="1" applyBorder="1" applyAlignment="1">
      <alignment horizontal="center"/>
    </xf>
    <xf numFmtId="170" fontId="0" fillId="0" borderId="0" xfId="5" applyNumberFormat="1" applyFont="1" applyFill="1" applyBorder="1" applyAlignment="1">
      <alignment horizontal="center" vertical="center"/>
    </xf>
    <xf numFmtId="0" fontId="0" fillId="8" borderId="1" xfId="5" applyNumberFormat="1" applyFont="1" applyFill="1" applyBorder="1" applyAlignment="1">
      <alignment horizontal="center"/>
    </xf>
    <xf numFmtId="2" fontId="8" fillId="8" borderId="1" xfId="0" applyNumberFormat="1" applyFont="1" applyFill="1" applyBorder="1" applyAlignment="1">
      <alignment horizontal="center"/>
    </xf>
    <xf numFmtId="173" fontId="18" fillId="7" borderId="1" xfId="0" applyFont="1" applyFill="1" applyBorder="1" applyAlignment="1">
      <alignment horizontal="center" vertical="center"/>
    </xf>
    <xf numFmtId="173" fontId="11" fillId="0" borderId="1" xfId="0" applyFont="1" applyBorder="1" applyAlignment="1">
      <alignment horizontal="left" vertical="center" wrapText="1"/>
    </xf>
    <xf numFmtId="173" fontId="11" fillId="0" borderId="14" xfId="0" applyFont="1" applyBorder="1" applyAlignment="1">
      <alignment horizontal="left" vertical="center" wrapText="1"/>
    </xf>
    <xf numFmtId="173" fontId="11" fillId="0" borderId="19" xfId="0" applyFont="1" applyBorder="1" applyAlignment="1">
      <alignment horizontal="left" vertical="center" wrapText="1"/>
    </xf>
    <xf numFmtId="173" fontId="11" fillId="0" borderId="15" xfId="0" applyFont="1" applyBorder="1" applyAlignment="1">
      <alignment horizontal="left" vertical="center" wrapText="1"/>
    </xf>
    <xf numFmtId="173" fontId="11" fillId="0" borderId="16" xfId="0" applyFont="1" applyBorder="1" applyAlignment="1">
      <alignment horizontal="left" vertical="center" wrapText="1"/>
    </xf>
    <xf numFmtId="173" fontId="11" fillId="0" borderId="0" xfId="0" applyFont="1" applyBorder="1" applyAlignment="1">
      <alignment horizontal="left" vertical="center" wrapText="1"/>
    </xf>
    <xf numFmtId="173" fontId="11" fillId="0" borderId="17" xfId="0" applyFont="1" applyBorder="1" applyAlignment="1">
      <alignment horizontal="left" vertical="center" wrapText="1"/>
    </xf>
    <xf numFmtId="173" fontId="11" fillId="0" borderId="11" xfId="0" applyFont="1" applyBorder="1" applyAlignment="1">
      <alignment horizontal="left" vertical="center" wrapText="1"/>
    </xf>
    <xf numFmtId="173" fontId="11" fillId="0" borderId="12" xfId="0" applyFont="1" applyBorder="1" applyAlignment="1">
      <alignment horizontal="left" vertical="center" wrapText="1"/>
    </xf>
    <xf numFmtId="173" fontId="11" fillId="0" borderId="18" xfId="0" applyFont="1" applyBorder="1" applyAlignment="1">
      <alignment horizontal="left" vertical="center" wrapText="1"/>
    </xf>
    <xf numFmtId="173" fontId="19" fillId="8" borderId="1" xfId="1" applyFont="1" applyFill="1" applyBorder="1" applyAlignment="1" applyProtection="1">
      <alignment horizontal="center" vertical="center"/>
    </xf>
    <xf numFmtId="173" fontId="14" fillId="8" borderId="1" xfId="1" applyFont="1" applyFill="1" applyBorder="1" applyAlignment="1" applyProtection="1">
      <alignment horizontal="center" vertical="center"/>
    </xf>
    <xf numFmtId="173" fontId="12" fillId="9" borderId="1" xfId="0" applyFont="1" applyFill="1" applyBorder="1" applyAlignment="1">
      <alignment horizontal="center" vertical="center"/>
    </xf>
    <xf numFmtId="173" fontId="13" fillId="8" borderId="1" xfId="0" applyFont="1" applyFill="1" applyBorder="1" applyAlignment="1">
      <alignment horizontal="center" vertical="center"/>
    </xf>
    <xf numFmtId="173" fontId="12" fillId="2" borderId="1" xfId="0" applyFont="1" applyFill="1" applyBorder="1" applyAlignment="1">
      <alignment horizontal="center" vertical="center" wrapText="1"/>
    </xf>
    <xf numFmtId="173" fontId="12" fillId="9" borderId="1" xfId="0" applyFont="1" applyFill="1" applyBorder="1" applyAlignment="1">
      <alignment horizontal="center" vertical="center" wrapText="1"/>
    </xf>
    <xf numFmtId="173" fontId="12" fillId="11" borderId="1" xfId="0" applyFont="1" applyFill="1" applyBorder="1" applyAlignment="1">
      <alignment horizontal="center" vertical="center" wrapText="1"/>
    </xf>
    <xf numFmtId="0" fontId="13" fillId="8" borderId="8" xfId="0" applyNumberFormat="1" applyFont="1" applyFill="1" applyBorder="1" applyAlignment="1">
      <alignment horizontal="center" vertical="center"/>
    </xf>
    <xf numFmtId="0" fontId="13" fillId="8" borderId="10" xfId="0" applyNumberFormat="1" applyFont="1" applyFill="1" applyBorder="1" applyAlignment="1">
      <alignment horizontal="center" vertical="center"/>
    </xf>
    <xf numFmtId="173" fontId="13" fillId="11" borderId="1" xfId="0" applyFont="1" applyFill="1" applyBorder="1" applyAlignment="1">
      <alignment horizontal="center" vertical="center" wrapText="1"/>
    </xf>
    <xf numFmtId="173" fontId="5" fillId="0" borderId="1" xfId="0" applyFont="1" applyBorder="1" applyAlignment="1">
      <alignment horizontal="center" vertical="center" wrapText="1"/>
    </xf>
    <xf numFmtId="2" fontId="4" fillId="0" borderId="1" xfId="1" applyNumberFormat="1" applyFill="1" applyBorder="1" applyAlignment="1" applyProtection="1">
      <alignment horizontal="center" vertical="center" wrapText="1"/>
    </xf>
    <xf numFmtId="2" fontId="5" fillId="0" borderId="8" xfId="0" applyNumberFormat="1" applyFont="1" applyFill="1" applyBorder="1" applyAlignment="1">
      <alignment horizontal="center" vertical="center"/>
    </xf>
    <xf numFmtId="2" fontId="5" fillId="0" borderId="10" xfId="0" applyNumberFormat="1" applyFont="1" applyFill="1" applyBorder="1" applyAlignment="1">
      <alignment horizontal="center" vertical="center"/>
    </xf>
    <xf numFmtId="173" fontId="5" fillId="0" borderId="1" xfId="0" applyFont="1" applyBorder="1" applyAlignment="1">
      <alignment horizontal="center" vertical="center"/>
    </xf>
    <xf numFmtId="2" fontId="4" fillId="0" borderId="14" xfId="1" applyNumberFormat="1" applyFill="1" applyBorder="1" applyAlignment="1" applyProtection="1">
      <alignment horizontal="center" vertical="center" wrapText="1"/>
    </xf>
    <xf numFmtId="2" fontId="4" fillId="0" borderId="15" xfId="1" applyNumberForma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173" fontId="5" fillId="0" borderId="8" xfId="0" applyFont="1" applyFill="1" applyBorder="1" applyAlignment="1">
      <alignment horizontal="center" vertical="center"/>
    </xf>
    <xf numFmtId="173" fontId="5" fillId="0" borderId="10" xfId="0" applyFont="1" applyFill="1" applyBorder="1" applyAlignment="1">
      <alignment horizontal="center" vertical="center"/>
    </xf>
    <xf numFmtId="2" fontId="4" fillId="0" borderId="11" xfId="1" applyNumberFormat="1" applyFill="1" applyBorder="1" applyAlignment="1" applyProtection="1">
      <alignment horizontal="center" vertical="center" wrapText="1"/>
    </xf>
    <xf numFmtId="2" fontId="4" fillId="0" borderId="18" xfId="1" applyNumberFormat="1" applyFill="1" applyBorder="1" applyAlignment="1" applyProtection="1">
      <alignment horizontal="center" vertical="center" wrapText="1"/>
    </xf>
    <xf numFmtId="173" fontId="5" fillId="0" borderId="1" xfId="0" applyFont="1" applyFill="1" applyBorder="1" applyAlignment="1">
      <alignment horizontal="center" vertical="center"/>
    </xf>
    <xf numFmtId="173" fontId="0" fillId="7" borderId="8" xfId="0" applyFill="1" applyBorder="1" applyAlignment="1">
      <alignment horizontal="center"/>
    </xf>
    <xf numFmtId="173" fontId="0" fillId="7" borderId="9" xfId="0" applyFill="1" applyBorder="1" applyAlignment="1">
      <alignment horizontal="center"/>
    </xf>
    <xf numFmtId="173" fontId="0" fillId="7" borderId="10" xfId="0" applyFill="1" applyBorder="1" applyAlignment="1">
      <alignment horizontal="center"/>
    </xf>
    <xf numFmtId="173" fontId="0" fillId="8" borderId="8" xfId="0" applyFill="1" applyBorder="1" applyAlignment="1">
      <alignment horizontal="center" vertical="center"/>
    </xf>
    <xf numFmtId="173" fontId="0" fillId="8" borderId="10" xfId="0" applyFill="1" applyBorder="1" applyAlignment="1">
      <alignment horizontal="center" vertical="center"/>
    </xf>
    <xf numFmtId="2" fontId="5" fillId="0" borderId="8" xfId="0" applyNumberFormat="1" applyFont="1" applyBorder="1" applyAlignment="1">
      <alignment horizontal="center"/>
    </xf>
    <xf numFmtId="2" fontId="5" fillId="0" borderId="10" xfId="0" applyNumberFormat="1" applyFont="1" applyBorder="1" applyAlignment="1">
      <alignment horizontal="center"/>
    </xf>
    <xf numFmtId="173" fontId="5" fillId="7" borderId="1" xfId="0" applyFont="1" applyFill="1" applyBorder="1" applyAlignment="1">
      <alignment horizontal="center" vertical="center" wrapText="1"/>
    </xf>
    <xf numFmtId="173" fontId="5" fillId="7" borderId="1" xfId="0" applyFont="1" applyFill="1" applyBorder="1" applyAlignment="1">
      <alignment horizontal="center" vertical="center"/>
    </xf>
    <xf numFmtId="173" fontId="5" fillId="0" borderId="8" xfId="0" applyFont="1" applyBorder="1" applyAlignment="1">
      <alignment horizontal="center" vertical="center"/>
    </xf>
    <xf numFmtId="173" fontId="5" fillId="0" borderId="10" xfId="0" applyFont="1" applyBorder="1" applyAlignment="1">
      <alignment horizontal="center" vertical="center"/>
    </xf>
    <xf numFmtId="173" fontId="5" fillId="7" borderId="8" xfId="0" applyFont="1" applyFill="1" applyBorder="1" applyAlignment="1">
      <alignment horizontal="center"/>
    </xf>
    <xf numFmtId="173" fontId="5" fillId="7" borderId="9" xfId="0" applyFont="1" applyFill="1" applyBorder="1" applyAlignment="1">
      <alignment horizontal="center"/>
    </xf>
    <xf numFmtId="173" fontId="5" fillId="7" borderId="10" xfId="0" applyFont="1" applyFill="1" applyBorder="1" applyAlignment="1">
      <alignment horizontal="center"/>
    </xf>
    <xf numFmtId="173" fontId="5" fillId="7" borderId="1" xfId="0" applyFont="1" applyFill="1" applyBorder="1" applyAlignment="1">
      <alignment horizontal="center"/>
    </xf>
    <xf numFmtId="2" fontId="4" fillId="0" borderId="8" xfId="1" applyNumberFormat="1" applyFill="1" applyBorder="1" applyAlignment="1" applyProtection="1">
      <alignment horizontal="center" vertical="center" wrapText="1"/>
    </xf>
    <xf numFmtId="2" fontId="4" fillId="0" borderId="10" xfId="1" applyNumberFormat="1" applyFill="1" applyBorder="1" applyAlignment="1" applyProtection="1">
      <alignment horizontal="center" vertical="center" wrapText="1"/>
    </xf>
    <xf numFmtId="173" fontId="5" fillId="7" borderId="8" xfId="0" applyFont="1" applyFill="1" applyBorder="1" applyAlignment="1">
      <alignment horizontal="center" vertical="center"/>
    </xf>
    <xf numFmtId="173" fontId="5" fillId="7" borderId="10" xfId="0" applyFont="1" applyFill="1" applyBorder="1" applyAlignment="1">
      <alignment horizontal="center" vertical="center"/>
    </xf>
    <xf numFmtId="173" fontId="0" fillId="2" borderId="1" xfId="0" applyFont="1" applyFill="1" applyBorder="1" applyAlignment="1">
      <alignment horizontal="center" vertical="center" wrapText="1"/>
    </xf>
    <xf numFmtId="173" fontId="5" fillId="4" borderId="1" xfId="0" applyFont="1" applyFill="1" applyBorder="1" applyAlignment="1" applyProtection="1">
      <alignment horizontal="center" vertical="center" wrapText="1"/>
      <protection locked="0" hidden="1"/>
    </xf>
    <xf numFmtId="173" fontId="5" fillId="6" borderId="1" xfId="0" applyFont="1" applyFill="1" applyBorder="1" applyAlignment="1">
      <alignment horizontal="center" vertical="center"/>
    </xf>
    <xf numFmtId="173" fontId="5" fillId="0" borderId="1" xfId="0" applyFont="1" applyBorder="1" applyAlignment="1" applyProtection="1">
      <alignment horizontal="left"/>
      <protection locked="0" hidden="1"/>
    </xf>
    <xf numFmtId="173" fontId="5" fillId="4" borderId="1" xfId="0" applyFont="1" applyFill="1" applyBorder="1" applyAlignment="1" applyProtection="1">
      <alignment horizontal="left"/>
      <protection locked="0" hidden="1"/>
    </xf>
    <xf numFmtId="173" fontId="5" fillId="6" borderId="1" xfId="0" applyFont="1" applyFill="1" applyBorder="1" applyAlignment="1" applyProtection="1">
      <alignment horizontal="center" vertical="center" wrapText="1"/>
      <protection locked="0" hidden="1"/>
    </xf>
    <xf numFmtId="173" fontId="5" fillId="4" borderId="12" xfId="0" applyFont="1" applyFill="1" applyBorder="1" applyAlignment="1">
      <alignment horizontal="center"/>
    </xf>
    <xf numFmtId="173" fontId="9" fillId="8" borderId="12" xfId="0" applyFont="1" applyFill="1" applyBorder="1" applyAlignment="1">
      <alignment horizontal="center" vertical="center" wrapText="1"/>
    </xf>
    <xf numFmtId="173" fontId="9" fillId="8" borderId="18" xfId="0" applyFont="1" applyFill="1" applyBorder="1" applyAlignment="1">
      <alignment horizontal="center" vertical="center" wrapText="1"/>
    </xf>
    <xf numFmtId="173" fontId="6" fillId="2" borderId="1" xfId="0" applyFont="1" applyFill="1" applyBorder="1" applyAlignment="1">
      <alignment horizontal="center" vertical="center" wrapText="1"/>
    </xf>
    <xf numFmtId="173" fontId="5" fillId="7" borderId="8" xfId="0" applyFont="1" applyFill="1" applyBorder="1" applyAlignment="1">
      <alignment horizontal="center" vertical="center" wrapText="1"/>
    </xf>
    <xf numFmtId="173" fontId="5" fillId="7" borderId="10" xfId="0" applyFont="1" applyFill="1" applyBorder="1" applyAlignment="1">
      <alignment horizontal="center" vertical="center" wrapText="1"/>
    </xf>
    <xf numFmtId="173" fontId="5" fillId="7" borderId="8" xfId="0" applyFont="1" applyFill="1" applyBorder="1" applyAlignment="1" applyProtection="1">
      <alignment horizontal="center" vertical="center" wrapText="1"/>
      <protection locked="0" hidden="1"/>
    </xf>
    <xf numFmtId="173" fontId="5" fillId="7" borderId="9" xfId="0" applyFont="1" applyFill="1" applyBorder="1" applyAlignment="1" applyProtection="1">
      <alignment horizontal="center" vertical="center" wrapText="1"/>
      <protection locked="0" hidden="1"/>
    </xf>
    <xf numFmtId="173" fontId="21" fillId="12" borderId="16" xfId="0" applyFont="1" applyFill="1" applyBorder="1" applyAlignment="1">
      <alignment horizontal="center" vertical="center"/>
    </xf>
    <xf numFmtId="173" fontId="21" fillId="12" borderId="0" xfId="0" applyFont="1" applyFill="1" applyAlignment="1">
      <alignment horizontal="center" vertical="center"/>
    </xf>
    <xf numFmtId="173" fontId="5" fillId="7" borderId="2" xfId="0" applyFont="1" applyFill="1" applyBorder="1" applyAlignment="1" applyProtection="1">
      <alignment horizontal="center" vertical="center" wrapText="1"/>
      <protection locked="0" hidden="1"/>
    </xf>
    <xf numFmtId="173" fontId="5" fillId="7" borderId="4" xfId="0" applyFont="1" applyFill="1" applyBorder="1" applyAlignment="1" applyProtection="1">
      <alignment horizontal="center" vertical="center" wrapText="1"/>
      <protection locked="0" hidden="1"/>
    </xf>
    <xf numFmtId="173" fontId="5" fillId="7" borderId="13" xfId="0" applyFont="1" applyFill="1" applyBorder="1" applyAlignment="1" applyProtection="1">
      <alignment horizontal="center" vertical="center" wrapText="1"/>
      <protection locked="0" hidden="1"/>
    </xf>
    <xf numFmtId="173" fontId="5" fillId="7" borderId="1" xfId="0" applyFont="1" applyFill="1" applyBorder="1" applyAlignment="1" applyProtection="1">
      <alignment horizontal="center" vertical="center" wrapText="1"/>
      <protection locked="0" hidden="1"/>
    </xf>
    <xf numFmtId="173" fontId="5" fillId="7" borderId="10" xfId="0" applyFont="1" applyFill="1" applyBorder="1" applyAlignment="1" applyProtection="1">
      <alignment horizontal="center" vertical="center" wrapText="1"/>
      <protection locked="0" hidden="1"/>
    </xf>
    <xf numFmtId="173" fontId="0" fillId="0" borderId="1" xfId="0" applyFont="1" applyBorder="1" applyAlignment="1">
      <alignment horizontal="center" wrapText="1"/>
    </xf>
    <xf numFmtId="173" fontId="5" fillId="10" borderId="1" xfId="0" applyFont="1" applyFill="1" applyBorder="1" applyAlignment="1">
      <alignment horizontal="center" vertical="center"/>
    </xf>
    <xf numFmtId="173" fontId="15" fillId="2" borderId="1" xfId="4" applyFont="1" applyFill="1" applyBorder="1" applyAlignment="1">
      <alignment horizontal="center" vertical="center" wrapText="1"/>
    </xf>
    <xf numFmtId="173" fontId="6" fillId="10" borderId="1" xfId="4" applyFont="1" applyFill="1" applyBorder="1" applyAlignment="1">
      <alignment horizontal="center" vertical="center" wrapText="1"/>
    </xf>
    <xf numFmtId="2" fontId="0" fillId="0" borderId="0" xfId="0" applyNumberFormat="1"/>
    <xf numFmtId="10" fontId="5" fillId="0" borderId="0" xfId="5" applyNumberFormat="1" applyFont="1"/>
    <xf numFmtId="10" fontId="0" fillId="0" borderId="0" xfId="5" applyNumberFormat="1" applyFont="1"/>
  </cellXfs>
  <cellStyles count="12">
    <cellStyle name="Currency" xfId="6" builtinId="4"/>
    <cellStyle name="Hipervínculo 2" xfId="11" xr:uid="{00000000-0005-0000-0000-000001000000}"/>
    <cellStyle name="Hipervínculo 3" xfId="8" xr:uid="{00000000-0005-0000-0000-000002000000}"/>
    <cellStyle name="Hyperlink" xfId="1" builtinId="8"/>
    <cellStyle name="Moneda 2" xfId="7" xr:uid="{00000000-0005-0000-0000-000004000000}"/>
    <cellStyle name="Normal" xfId="0" builtinId="0"/>
    <cellStyle name="Normal 2" xfId="2" xr:uid="{00000000-0005-0000-0000-000006000000}"/>
    <cellStyle name="Normal 2 2" xfId="10" xr:uid="{00000000-0005-0000-0000-000007000000}"/>
    <cellStyle name="Normal 3" xfId="3" xr:uid="{00000000-0005-0000-0000-000008000000}"/>
    <cellStyle name="Normal 4" xfId="9" xr:uid="{00000000-0005-0000-0000-000009000000}"/>
    <cellStyle name="Normal_DISRTRIBUCION ENERGIA" xfId="4" xr:uid="{00000000-0005-0000-0000-00000A000000}"/>
    <cellStyle name="Percent" xfId="5" builtinId="5"/>
  </cellStyles>
  <dxfs count="0"/>
  <tableStyles count="0" defaultTableStyle="TableStyleMedium2" defaultPivotStyle="PivotStyleLight16"/>
  <colors>
    <mruColors>
      <color rgb="FFFFFF6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'CONSUMOS Y PRODUCCIÓN'!$B$61</c:f>
              <c:strCache>
                <c:ptCount val="1"/>
                <c:pt idx="0">
                  <c:v>ACPM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'CONSUMOS Y PRODUCCIÓN'!$B$63:$B$74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'CONSUMOS Y PRODUCCIÓN'!$C$63:$C$74</c:f>
              <c:numCache>
                <c:formatCode>#,##0</c:formatCode>
                <c:ptCount val="12"/>
                <c:pt idx="0">
                  <c:v>225</c:v>
                </c:pt>
                <c:pt idx="1">
                  <c:v>78</c:v>
                </c:pt>
                <c:pt idx="2">
                  <c:v>116</c:v>
                </c:pt>
                <c:pt idx="3">
                  <c:v>24</c:v>
                </c:pt>
                <c:pt idx="4">
                  <c:v>0</c:v>
                </c:pt>
                <c:pt idx="5">
                  <c:v>15</c:v>
                </c:pt>
                <c:pt idx="6">
                  <c:v>158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510</c:v>
                </c:pt>
                <c:pt idx="11">
                  <c:v>166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8A-4B06-B0D2-8EF96BEDEE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1328064"/>
        <c:axId val="51317728"/>
      </c:barChart>
      <c:catAx>
        <c:axId val="513280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sz="1200" b="0"/>
                  <a:t>Meses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1317728"/>
        <c:crosses val="autoZero"/>
        <c:auto val="1"/>
        <c:lblAlgn val="ctr"/>
        <c:lblOffset val="100"/>
        <c:noMultiLvlLbl val="1"/>
      </c:catAx>
      <c:valAx>
        <c:axId val="51317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/>
                  <a:t>Galones</a:t>
                </a:r>
              </a:p>
            </c:rich>
          </c:tx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1328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LÍNEA BASE</a:t>
            </a:r>
            <a:r>
              <a:rPr lang="en-US" sz="1400" b="1" baseline="0"/>
              <a:t> </a:t>
            </a:r>
            <a:r>
              <a:rPr lang="en-US" sz="1400" b="1"/>
              <a:t>ENERGÍA ELÉCTRICA VS PRODUCCIÓN </a:t>
            </a:r>
          </a:p>
        </c:rich>
      </c:tx>
      <c:overlay val="0"/>
      <c:spPr>
        <a:solidFill>
          <a:srgbClr val="FFFF00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'LINEA BASE '!$G$2:$H$2</c:f>
              <c:strCache>
                <c:ptCount val="1"/>
                <c:pt idx="0">
                  <c:v>DATOS LÍNEA BASE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backward val="2500"/>
            <c:dispRSqr val="1"/>
            <c:dispEq val="1"/>
            <c:trendlineLbl>
              <c:layout>
                <c:manualLayout>
                  <c:x val="-0.33779758378285624"/>
                  <c:y val="3.817007973502348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</c:trendlineLbl>
          </c:trendline>
          <c:xVal>
            <c:numRef>
              <c:f>'LINEA BASE '!$H$4:$H$15</c:f>
              <c:numCache>
                <c:formatCode>0</c:formatCode>
                <c:ptCount val="12"/>
                <c:pt idx="0">
                  <c:v>1459</c:v>
                </c:pt>
                <c:pt idx="1">
                  <c:v>1499</c:v>
                </c:pt>
                <c:pt idx="2">
                  <c:v>1547</c:v>
                </c:pt>
                <c:pt idx="3">
                  <c:v>990</c:v>
                </c:pt>
                <c:pt idx="4">
                  <c:v>1220</c:v>
                </c:pt>
                <c:pt idx="5">
                  <c:v>855</c:v>
                </c:pt>
                <c:pt idx="6">
                  <c:v>1412</c:v>
                </c:pt>
                <c:pt idx="7">
                  <c:v>1491</c:v>
                </c:pt>
                <c:pt idx="8">
                  <c:v>1443</c:v>
                </c:pt>
                <c:pt idx="9">
                  <c:v>1726</c:v>
                </c:pt>
                <c:pt idx="10">
                  <c:v>1525</c:v>
                </c:pt>
                <c:pt idx="11">
                  <c:v>1535</c:v>
                </c:pt>
              </c:numCache>
            </c:numRef>
          </c:xVal>
          <c:yVal>
            <c:numRef>
              <c:f>'LINEA BASE '!$G$4:$G$15</c:f>
              <c:numCache>
                <c:formatCode>0</c:formatCode>
                <c:ptCount val="12"/>
                <c:pt idx="0">
                  <c:v>644837.44999999995</c:v>
                </c:pt>
                <c:pt idx="1">
                  <c:v>673039.01</c:v>
                </c:pt>
                <c:pt idx="2">
                  <c:v>742199.91999999993</c:v>
                </c:pt>
                <c:pt idx="3">
                  <c:v>510346.82999999996</c:v>
                </c:pt>
                <c:pt idx="4">
                  <c:v>589417.18999999994</c:v>
                </c:pt>
                <c:pt idx="5">
                  <c:v>416692.83999999997</c:v>
                </c:pt>
                <c:pt idx="6">
                  <c:v>659096.22</c:v>
                </c:pt>
                <c:pt idx="7">
                  <c:v>652987.49</c:v>
                </c:pt>
                <c:pt idx="8">
                  <c:v>692326.39</c:v>
                </c:pt>
                <c:pt idx="9">
                  <c:v>780657.88</c:v>
                </c:pt>
                <c:pt idx="10">
                  <c:v>738073.57000000007</c:v>
                </c:pt>
                <c:pt idx="11">
                  <c:v>703026.40999999992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F32-4F0A-8B75-79424EBEA4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6977296"/>
        <c:axId val="2136977840"/>
      </c:scatterChart>
      <c:valAx>
        <c:axId val="2136977296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Producción (Ton)</a:t>
                </a:r>
              </a:p>
            </c:rich>
          </c:tx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36977840"/>
        <c:crosses val="autoZero"/>
        <c:crossBetween val="midCat"/>
      </c:valAx>
      <c:valAx>
        <c:axId val="213697784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Consumo (kWh/mes)</a:t>
                </a:r>
              </a:p>
            </c:rich>
          </c:tx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36977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CONSUMO DE</a:t>
            </a:r>
            <a:r>
              <a:rPr lang="en-US" sz="1400" b="1" baseline="0"/>
              <a:t> ENERGÍA ELÉCTRICA VS PRODUCCIÓN</a:t>
            </a:r>
            <a:r>
              <a:rPr lang="en-US" sz="1400" b="1"/>
              <a:t> </a:t>
            </a:r>
          </a:p>
        </c:rich>
      </c:tx>
      <c:overlay val="0"/>
      <c:spPr>
        <a:solidFill>
          <a:srgbClr val="FFFF00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'INDICADORES E'!$C$3</c:f>
              <c:strCache>
                <c:ptCount val="1"/>
                <c:pt idx="0">
                  <c:v>ENERGÍA ELÉCTRICA</c:v>
                </c:pt>
              </c:strCache>
            </c:strRef>
          </c:tx>
          <c:spPr>
            <a:ln w="285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'INDICADORES E'!$A$6:$A$17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'INDICADORES E'!$C$6:$C$17</c:f>
              <c:numCache>
                <c:formatCode>#,##0</c:formatCode>
                <c:ptCount val="12"/>
                <c:pt idx="0">
                  <c:v>644837.44999999995</c:v>
                </c:pt>
                <c:pt idx="1">
                  <c:v>673039.01</c:v>
                </c:pt>
                <c:pt idx="2">
                  <c:v>742199.91999999993</c:v>
                </c:pt>
                <c:pt idx="3">
                  <c:v>510346.82999999996</c:v>
                </c:pt>
                <c:pt idx="4">
                  <c:v>589417.18999999994</c:v>
                </c:pt>
                <c:pt idx="5">
                  <c:v>416692.83999999997</c:v>
                </c:pt>
                <c:pt idx="6">
                  <c:v>659096.22</c:v>
                </c:pt>
                <c:pt idx="7">
                  <c:v>652987.49</c:v>
                </c:pt>
                <c:pt idx="8">
                  <c:v>692326.39</c:v>
                </c:pt>
                <c:pt idx="9">
                  <c:v>780657.88</c:v>
                </c:pt>
                <c:pt idx="10">
                  <c:v>738073.57000000007</c:v>
                </c:pt>
                <c:pt idx="11">
                  <c:v>703026.40999999992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5A4-40E8-89EF-0D042FE89F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7649536"/>
        <c:axId val="1976940192"/>
      </c:lineChart>
      <c:lineChart>
        <c:grouping val="standard"/>
        <c:varyColors val="0"/>
        <c:ser>
          <c:idx val="0"/>
          <c:order val="0"/>
          <c:tx>
            <c:strRef>
              <c:f>'INDICADORES E'!$B$3</c:f>
              <c:strCache>
                <c:ptCount val="1"/>
                <c:pt idx="0">
                  <c:v>PRODUCCIÓN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cat>
            <c:strRef>
              <c:f>'INDICADORES E'!$A$6:$A$17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'INDICADORES E'!$B$6:$B$17</c:f>
              <c:numCache>
                <c:formatCode>#,##0</c:formatCode>
                <c:ptCount val="12"/>
                <c:pt idx="0">
                  <c:v>1459</c:v>
                </c:pt>
                <c:pt idx="1">
                  <c:v>1499</c:v>
                </c:pt>
                <c:pt idx="2">
                  <c:v>1547</c:v>
                </c:pt>
                <c:pt idx="3">
                  <c:v>990</c:v>
                </c:pt>
                <c:pt idx="4">
                  <c:v>1220</c:v>
                </c:pt>
                <c:pt idx="5">
                  <c:v>855</c:v>
                </c:pt>
                <c:pt idx="6">
                  <c:v>1412</c:v>
                </c:pt>
                <c:pt idx="7">
                  <c:v>1491</c:v>
                </c:pt>
                <c:pt idx="8">
                  <c:v>1443</c:v>
                </c:pt>
                <c:pt idx="9">
                  <c:v>1726</c:v>
                </c:pt>
                <c:pt idx="10">
                  <c:v>1525</c:v>
                </c:pt>
                <c:pt idx="11">
                  <c:v>1535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5A4-40E8-89EF-0D042FE89F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868672"/>
        <c:axId val="1976942912"/>
      </c:lineChart>
      <c:catAx>
        <c:axId val="1977649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76940192"/>
        <c:crosses val="autoZero"/>
        <c:auto val="1"/>
        <c:lblAlgn val="ctr"/>
        <c:lblOffset val="100"/>
        <c:noMultiLvlLbl val="1"/>
      </c:catAx>
      <c:valAx>
        <c:axId val="1976940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Energía</a:t>
                </a:r>
                <a:r>
                  <a:rPr lang="en-US" sz="1200" baseline="0"/>
                  <a:t> eléctrica (kWh)</a:t>
                </a:r>
                <a:endParaRPr lang="en-US" sz="1200"/>
              </a:p>
            </c:rich>
          </c:tx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77649536"/>
        <c:crosses val="autoZero"/>
        <c:crossBetween val="between"/>
      </c:valAx>
      <c:valAx>
        <c:axId val="1976942912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Producción (Ton)</a:t>
                </a:r>
              </a:p>
            </c:rich>
          </c:tx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0868672"/>
        <c:crosses val="max"/>
        <c:crossBetween val="between"/>
      </c:valAx>
      <c:catAx>
        <c:axId val="1008686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976942912"/>
        <c:crosses val="autoZero"/>
        <c:auto val="1"/>
        <c:lblAlgn val="ctr"/>
        <c:lblOffset val="100"/>
        <c:tickLblSkip val="1"/>
        <c:tickMarkSkip val="1"/>
        <c:noMultiLvlLbl val="1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ÍNDICES</a:t>
            </a:r>
            <a:r>
              <a:rPr lang="en-US" sz="1400" b="1" baseline="0"/>
              <a:t> DE CONSUMO</a:t>
            </a:r>
            <a:endParaRPr lang="en-US" sz="1400" b="1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'INDICADORES E'!$H$4:$H$5</c:f>
              <c:strCache>
                <c:ptCount val="2"/>
                <c:pt idx="0">
                  <c:v>GAS NATURAL </c:v>
                </c:pt>
                <c:pt idx="1">
                  <c:v>m3/Ton</c:v>
                </c:pt>
              </c:strCache>
            </c:strRef>
          </c:tx>
          <c:spPr>
            <a:ln>
              <a:solidFill>
                <a:schemeClr val="accent2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'INDICADORES E'!$A$6:$A$17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'INDICADORES E'!$H$6:$H$29</c:f>
              <c:numCache>
                <c:formatCode>#,##0.00</c:formatCode>
                <c:ptCount val="16"/>
                <c:pt idx="0">
                  <c:v>3.7758738862234407</c:v>
                </c:pt>
                <c:pt idx="1">
                  <c:v>3.0827218145430288</c:v>
                </c:pt>
                <c:pt idx="2">
                  <c:v>3.7220426632191339</c:v>
                </c:pt>
                <c:pt idx="3">
                  <c:v>6.6222222222222218</c:v>
                </c:pt>
                <c:pt idx="4">
                  <c:v>4.9139344262295079</c:v>
                </c:pt>
                <c:pt idx="5">
                  <c:v>4.5976608187134502</c:v>
                </c:pt>
                <c:pt idx="6">
                  <c:v>5.6161473087818701</c:v>
                </c:pt>
                <c:pt idx="7">
                  <c:v>4.9966465459423208</c:v>
                </c:pt>
                <c:pt idx="8">
                  <c:v>5.918225918225918</c:v>
                </c:pt>
                <c:pt idx="9">
                  <c:v>4.0695249130938587</c:v>
                </c:pt>
                <c:pt idx="10">
                  <c:v>4.8157377049180328</c:v>
                </c:pt>
                <c:pt idx="11">
                  <c:v>3.2664495114006513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16F-42DF-A1F2-74EFCECD6EAE}"/>
            </c:ext>
          </c:extLst>
        </c:ser>
        <c:ser>
          <c:idx val="0"/>
          <c:order val="1"/>
          <c:tx>
            <c:strRef>
              <c:f>'INDICADORES E'!$G$4:$G$5</c:f>
              <c:strCache>
                <c:ptCount val="2"/>
                <c:pt idx="0">
                  <c:v>ENERGÍA ELÉCTRICA</c:v>
                </c:pt>
                <c:pt idx="1">
                  <c:v>kWh/Ton</c:v>
                </c:pt>
              </c:strCache>
            </c:strRef>
          </c:tx>
          <c:spPr>
            <a:ln w="285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'INDICADORES E'!$A$6:$A$17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'INDICADORES E'!$G$6:$G$17</c:f>
              <c:numCache>
                <c:formatCode>#,##0</c:formatCode>
                <c:ptCount val="12"/>
                <c:pt idx="0">
                  <c:v>441.97220699108976</c:v>
                </c:pt>
                <c:pt idx="1">
                  <c:v>448.99200133422283</c:v>
                </c:pt>
                <c:pt idx="2">
                  <c:v>479.76723981900449</c:v>
                </c:pt>
                <c:pt idx="3">
                  <c:v>515.50184848484844</c:v>
                </c:pt>
                <c:pt idx="4">
                  <c:v>483.12884426229505</c:v>
                </c:pt>
                <c:pt idx="5">
                  <c:v>487.36004678362571</c:v>
                </c:pt>
                <c:pt idx="6">
                  <c:v>466.7820254957507</c:v>
                </c:pt>
                <c:pt idx="7">
                  <c:v>437.95270959087861</c:v>
                </c:pt>
                <c:pt idx="8">
                  <c:v>479.78266805266804</c:v>
                </c:pt>
                <c:pt idx="9">
                  <c:v>452.29309385863269</c:v>
                </c:pt>
                <c:pt idx="10">
                  <c:v>483.98266885245908</c:v>
                </c:pt>
                <c:pt idx="11">
                  <c:v>457.99766123778494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6F-42DF-A1F2-74EFCECD6E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0871392"/>
        <c:axId val="100873024"/>
      </c:lineChart>
      <c:catAx>
        <c:axId val="100871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0873024"/>
        <c:crosses val="autoZero"/>
        <c:auto val="1"/>
        <c:lblAlgn val="ctr"/>
        <c:lblOffset val="100"/>
        <c:noMultiLvlLbl val="1"/>
      </c:catAx>
      <c:valAx>
        <c:axId val="100873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0871392"/>
        <c:crosses val="autoZero"/>
        <c:crossBetween val="between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ln>
      <a:solidFill>
        <a:schemeClr val="bg1">
          <a:lumMod val="75000"/>
        </a:schemeClr>
      </a:solidFill>
    </a:ln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DIAGRAMA</a:t>
            </a:r>
            <a:r>
              <a:rPr lang="es-CO" baseline="0"/>
              <a:t> DE PARETO</a:t>
            </a:r>
            <a:endParaRPr lang="es-CO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PARETO!$E$7</c:f>
              <c:strCache>
                <c:ptCount val="1"/>
                <c:pt idx="0">
                  <c:v>% de participacion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PARETO!$A$8:$A$18</c:f>
              <c:strCache>
                <c:ptCount val="11"/>
                <c:pt idx="0">
                  <c:v>Trefilados</c:v>
                </c:pt>
                <c:pt idx="1">
                  <c:v>Forrados</c:v>
                </c:pt>
                <c:pt idx="2">
                  <c:v>Cableados </c:v>
                </c:pt>
                <c:pt idx="3">
                  <c:v>Empaques </c:v>
                </c:pt>
                <c:pt idx="4">
                  <c:v>Control de calidad</c:v>
                </c:pt>
                <c:pt idx="5">
                  <c:v>Sistemas</c:v>
                </c:pt>
                <c:pt idx="6">
                  <c:v>Supply Chain (mp)</c:v>
                </c:pt>
                <c:pt idx="7">
                  <c:v>Mantenimiento</c:v>
                </c:pt>
                <c:pt idx="8">
                  <c:v>Empaques </c:v>
                </c:pt>
                <c:pt idx="9">
                  <c:v>Suppy chain logistica</c:v>
                </c:pt>
                <c:pt idx="10">
                  <c:v>Diseño y desarrollo</c:v>
                </c:pt>
              </c:strCache>
            </c:strRef>
          </c:cat>
          <c:val>
            <c:numRef>
              <c:f>PARETO!$E$8:$E$18</c:f>
              <c:numCache>
                <c:formatCode>0.00%</c:formatCode>
                <c:ptCount val="11"/>
                <c:pt idx="0">
                  <c:v>0.36158394992749432</c:v>
                </c:pt>
                <c:pt idx="1">
                  <c:v>0.25961806149901012</c:v>
                </c:pt>
                <c:pt idx="2">
                  <c:v>0.11511379674515794</c:v>
                </c:pt>
                <c:pt idx="3">
                  <c:v>0.1</c:v>
                </c:pt>
                <c:pt idx="4">
                  <c:v>5.9999999999999991E-2</c:v>
                </c:pt>
                <c:pt idx="5">
                  <c:v>0.05</c:v>
                </c:pt>
                <c:pt idx="6">
                  <c:v>2.9999999999999995E-2</c:v>
                </c:pt>
                <c:pt idx="7">
                  <c:v>0.01</c:v>
                </c:pt>
                <c:pt idx="8">
                  <c:v>8.0000000000000002E-3</c:v>
                </c:pt>
                <c:pt idx="9">
                  <c:v>5.0000000000000001E-3</c:v>
                </c:pt>
                <c:pt idx="10">
                  <c:v>6.9999999999999999E-4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A9-409B-93CE-D2A1F8CEE4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76431088"/>
        <c:axId val="1676421520"/>
      </c:barChart>
      <c:lineChart>
        <c:grouping val="standard"/>
        <c:varyColors val="0"/>
        <c:ser>
          <c:idx val="1"/>
          <c:order val="1"/>
          <c:tx>
            <c:strRef>
              <c:f>PARETO!$F$7</c:f>
              <c:strCache>
                <c:ptCount val="1"/>
                <c:pt idx="0">
                  <c:v>% acumulado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PARETO!$A$8:$A$18</c:f>
              <c:strCache>
                <c:ptCount val="11"/>
                <c:pt idx="0">
                  <c:v>Trefilados</c:v>
                </c:pt>
                <c:pt idx="1">
                  <c:v>Forrados</c:v>
                </c:pt>
                <c:pt idx="2">
                  <c:v>Cableados </c:v>
                </c:pt>
                <c:pt idx="3">
                  <c:v>Empaques </c:v>
                </c:pt>
                <c:pt idx="4">
                  <c:v>Control de calidad</c:v>
                </c:pt>
                <c:pt idx="5">
                  <c:v>Sistemas</c:v>
                </c:pt>
                <c:pt idx="6">
                  <c:v>Supply Chain (mp)</c:v>
                </c:pt>
                <c:pt idx="7">
                  <c:v>Mantenimiento</c:v>
                </c:pt>
                <c:pt idx="8">
                  <c:v>Empaques </c:v>
                </c:pt>
                <c:pt idx="9">
                  <c:v>Suppy chain logistica</c:v>
                </c:pt>
                <c:pt idx="10">
                  <c:v>Diseño y desarrollo</c:v>
                </c:pt>
              </c:strCache>
            </c:strRef>
          </c:cat>
          <c:val>
            <c:numRef>
              <c:f>PARETO!$F$8:$F$18</c:f>
              <c:numCache>
                <c:formatCode>0.00%</c:formatCode>
                <c:ptCount val="11"/>
                <c:pt idx="0">
                  <c:v>0.36158394992749432</c:v>
                </c:pt>
                <c:pt idx="1">
                  <c:v>0.62120201142650444</c:v>
                </c:pt>
                <c:pt idx="2">
                  <c:v>0.73631580817166242</c:v>
                </c:pt>
                <c:pt idx="3">
                  <c:v>0.8363158081716624</c:v>
                </c:pt>
                <c:pt idx="4">
                  <c:v>0.89631580817166234</c:v>
                </c:pt>
                <c:pt idx="5">
                  <c:v>0.94631580817166239</c:v>
                </c:pt>
                <c:pt idx="6">
                  <c:v>0.97631580817166241</c:v>
                </c:pt>
                <c:pt idx="7">
                  <c:v>0.98631580817166242</c:v>
                </c:pt>
                <c:pt idx="8">
                  <c:v>0.99431580817166243</c:v>
                </c:pt>
                <c:pt idx="9">
                  <c:v>0.99931580817166243</c:v>
                </c:pt>
                <c:pt idx="10">
                  <c:v>1.0000158081716624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3A9-409B-93CE-D2A1F8CEE4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1529120"/>
        <c:axId val="1681512480"/>
      </c:lineChart>
      <c:catAx>
        <c:axId val="1676431088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76421520"/>
        <c:crosses val="autoZero"/>
        <c:auto val="1"/>
        <c:lblAlgn val="ctr"/>
        <c:lblOffset val="100"/>
        <c:noMultiLvlLbl val="0"/>
      </c:catAx>
      <c:valAx>
        <c:axId val="1676421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Consumo (kWh/mes)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76431088"/>
        <c:crosses val="autoZero"/>
        <c:crossBetween val="between"/>
      </c:valAx>
      <c:valAx>
        <c:axId val="1681512480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% de consumo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81529120"/>
        <c:crosses val="max"/>
        <c:crossBetween val="between"/>
      </c:valAx>
      <c:catAx>
        <c:axId val="16815291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81512480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'CONSUMOS Y PRODUCCIÓN'!$B$2</c:f>
              <c:strCache>
                <c:ptCount val="1"/>
                <c:pt idx="0">
                  <c:v>ENERGÍA ELÉCTRICA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'CONSUMOS Y PRODUCCIÓN'!$B$4:$B$27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'CONSUMOS Y PRODUCCIÓN'!$F$4:$F$27</c:f>
              <c:numCache>
                <c:formatCode>#,##0</c:formatCode>
                <c:ptCount val="12"/>
                <c:pt idx="0">
                  <c:v>644837.44999999995</c:v>
                </c:pt>
                <c:pt idx="1">
                  <c:v>673039.01</c:v>
                </c:pt>
                <c:pt idx="2">
                  <c:v>742199.91999999993</c:v>
                </c:pt>
                <c:pt idx="3">
                  <c:v>510346.82999999996</c:v>
                </c:pt>
                <c:pt idx="4">
                  <c:v>589417.18999999994</c:v>
                </c:pt>
                <c:pt idx="5">
                  <c:v>416692.83999999997</c:v>
                </c:pt>
                <c:pt idx="6">
                  <c:v>659096.22</c:v>
                </c:pt>
                <c:pt idx="7">
                  <c:v>652987.49</c:v>
                </c:pt>
                <c:pt idx="8">
                  <c:v>692326.39</c:v>
                </c:pt>
                <c:pt idx="9">
                  <c:v>780657.88</c:v>
                </c:pt>
                <c:pt idx="10">
                  <c:v>738073.57000000007</c:v>
                </c:pt>
                <c:pt idx="11">
                  <c:v>703026.40999999992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2F-43CB-B92B-066022E59E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1320992"/>
        <c:axId val="51321536"/>
      </c:barChart>
      <c:catAx>
        <c:axId val="513209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sz="1200" b="0"/>
                  <a:t>Meses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1321536"/>
        <c:crosses val="autoZero"/>
        <c:auto val="1"/>
        <c:lblAlgn val="ctr"/>
        <c:lblOffset val="100"/>
        <c:noMultiLvlLbl val="1"/>
      </c:catAx>
      <c:valAx>
        <c:axId val="5132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/>
                  <a:t>kWh</a:t>
                </a:r>
              </a:p>
            </c:rich>
          </c:tx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1320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'CONSUMOS Y PRODUCCIÓN'!$B$36</c:f>
              <c:strCache>
                <c:ptCount val="1"/>
                <c:pt idx="0">
                  <c:v>GAS NATURAL 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'CONSUMOS Y PRODUCCIÓN'!$B$38:$B$49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'CONSUMOS Y PRODUCCIÓN'!$F$38:$F$49</c:f>
              <c:numCache>
                <c:formatCode>#,##0.00_);\(#,##0.00\)</c:formatCode>
                <c:ptCount val="12"/>
                <c:pt idx="0">
                  <c:v>5509</c:v>
                </c:pt>
                <c:pt idx="1">
                  <c:v>4621</c:v>
                </c:pt>
                <c:pt idx="2">
                  <c:v>5758</c:v>
                </c:pt>
                <c:pt idx="3">
                  <c:v>6556</c:v>
                </c:pt>
                <c:pt idx="4">
                  <c:v>5995</c:v>
                </c:pt>
                <c:pt idx="5">
                  <c:v>3931</c:v>
                </c:pt>
                <c:pt idx="6">
                  <c:v>7930</c:v>
                </c:pt>
                <c:pt idx="7">
                  <c:v>7450</c:v>
                </c:pt>
                <c:pt idx="8">
                  <c:v>8540</c:v>
                </c:pt>
                <c:pt idx="9">
                  <c:v>7024</c:v>
                </c:pt>
                <c:pt idx="10">
                  <c:v>7344</c:v>
                </c:pt>
                <c:pt idx="11">
                  <c:v>5014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3C-4F0A-A779-51A2F231F2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1322080"/>
        <c:axId val="51322624"/>
      </c:barChart>
      <c:catAx>
        <c:axId val="513220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sz="1200" b="0"/>
                  <a:t>Meses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1322624"/>
        <c:crosses val="autoZero"/>
        <c:auto val="1"/>
        <c:lblAlgn val="ctr"/>
        <c:lblOffset val="100"/>
        <c:noMultiLvlLbl val="1"/>
      </c:catAx>
      <c:valAx>
        <c:axId val="51322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/>
                  <a:t>Metros</a:t>
                </a:r>
                <a:r>
                  <a:rPr lang="en-US" sz="1200" b="0" baseline="0"/>
                  <a:t> cúbicos</a:t>
                </a:r>
                <a:endParaRPr lang="en-US" sz="1200" b="0"/>
              </a:p>
            </c:rich>
          </c:tx>
          <c:layout>
            <c:manualLayout>
              <c:xMode val="edge"/>
              <c:yMode val="edge"/>
              <c:x val="2.3038796300340503E-2"/>
              <c:y val="0.35932294623211386"/>
            </c:manualLayout>
          </c:layout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1322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'CONSUMOS Y PRODUCCIÓN'!$B$129</c:f>
              <c:strCache>
                <c:ptCount val="1"/>
                <c:pt idx="0">
                  <c:v>PRODUCCIÓN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'CONSUMOS Y PRODUCCIÓN'!$B$131:$B$142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'CONSUMOS Y PRODUCCIÓN'!$C$131:$C$142</c:f>
              <c:numCache>
                <c:formatCode>#,##0</c:formatCode>
                <c:ptCount val="12"/>
                <c:pt idx="0">
                  <c:v>1459</c:v>
                </c:pt>
                <c:pt idx="1">
                  <c:v>1499</c:v>
                </c:pt>
                <c:pt idx="2">
                  <c:v>1547</c:v>
                </c:pt>
                <c:pt idx="3">
                  <c:v>990</c:v>
                </c:pt>
                <c:pt idx="4">
                  <c:v>1220</c:v>
                </c:pt>
                <c:pt idx="5">
                  <c:v>855</c:v>
                </c:pt>
                <c:pt idx="6">
                  <c:v>1412</c:v>
                </c:pt>
                <c:pt idx="7">
                  <c:v>1491</c:v>
                </c:pt>
                <c:pt idx="8">
                  <c:v>1443</c:v>
                </c:pt>
                <c:pt idx="9">
                  <c:v>1726</c:v>
                </c:pt>
                <c:pt idx="10">
                  <c:v>1525</c:v>
                </c:pt>
                <c:pt idx="11">
                  <c:v>1535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FE-40AE-9F79-BA29A0EC87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1323168"/>
        <c:axId val="51324256"/>
      </c:barChart>
      <c:catAx>
        <c:axId val="513231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sz="1200" b="0"/>
                  <a:t>Meses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1324256"/>
        <c:crosses val="autoZero"/>
        <c:auto val="1"/>
        <c:lblAlgn val="ctr"/>
        <c:lblOffset val="100"/>
        <c:noMultiLvlLbl val="1"/>
      </c:catAx>
      <c:valAx>
        <c:axId val="51324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/>
                  <a:t>Toneladas</a:t>
                </a:r>
              </a:p>
            </c:rich>
          </c:tx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1323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GASOLINA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'CONSUMOS Y PRODUCCIÓN'!$B$95</c:f>
              <c:strCache>
                <c:ptCount val="1"/>
                <c:pt idx="0">
                  <c:v>GASOLINA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multiLvlStrRef>
              <c:f>'CONSUMOS Y PRODUCCIÓN'!$B$97:$B$120</c:f>
            </c:multiLvlStrRef>
          </c:cat>
          <c:val>
            <c:numRef>
              <c:f>'CONSUMOS Y PRODUCCIÓN'!$F$97:$F$120</c:f>
            </c:numRef>
          </c:val>
          <c:extLst>
            <c:ext xmlns:c16="http://schemas.microsoft.com/office/drawing/2014/chart" uri="{C3380CC4-5D6E-409C-BE32-E72D297353CC}">
              <c16:uniqueId val="{00000000-B2EA-4811-A6BC-83517D6E1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1324800"/>
        <c:axId val="51327520"/>
      </c:barChart>
      <c:catAx>
        <c:axId val="513248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/>
                  <a:t>Meses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1327520"/>
        <c:crosses val="autoZero"/>
        <c:auto val="1"/>
        <c:lblAlgn val="ctr"/>
        <c:lblOffset val="100"/>
        <c:noMultiLvlLbl val="1"/>
      </c:catAx>
      <c:valAx>
        <c:axId val="51327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/>
                  <a:t>Galones</a:t>
                </a:r>
              </a:p>
            </c:rich>
          </c:tx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1324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'CONSUMOS Y PRODUCCIÓN'!$E$129</c:f>
              <c:strCache>
                <c:ptCount val="1"/>
                <c:pt idx="0">
                  <c:v>Gas Propano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'CONSUMOS Y PRODUCCIÓN'!$E$131:$E$142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'CONSUMOS Y PRODUCCIÓN'!$F$131:$F$142</c:f>
              <c:numCache>
                <c:formatCode>#,##0.00_);\(#,##0.00\)</c:formatCode>
                <c:ptCount val="12"/>
                <c:pt idx="0">
                  <c:v>2475</c:v>
                </c:pt>
                <c:pt idx="1">
                  <c:v>3465</c:v>
                </c:pt>
                <c:pt idx="2">
                  <c:v>3060</c:v>
                </c:pt>
                <c:pt idx="3">
                  <c:v>2730</c:v>
                </c:pt>
                <c:pt idx="4">
                  <c:v>2745</c:v>
                </c:pt>
                <c:pt idx="5">
                  <c:v>2460</c:v>
                </c:pt>
                <c:pt idx="7">
                  <c:v>7200</c:v>
                </c:pt>
                <c:pt idx="8">
                  <c:v>4095</c:v>
                </c:pt>
                <c:pt idx="9">
                  <c:v>3960</c:v>
                </c:pt>
                <c:pt idx="10">
                  <c:v>3885</c:v>
                </c:pt>
                <c:pt idx="11">
                  <c:v>3540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47-42E8-880C-9F272026B4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1328064"/>
        <c:axId val="51317728"/>
      </c:barChart>
      <c:catAx>
        <c:axId val="513280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sz="1200" b="0"/>
                  <a:t>Meses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1317728"/>
        <c:crosses val="autoZero"/>
        <c:auto val="1"/>
        <c:lblAlgn val="ctr"/>
        <c:lblOffset val="100"/>
        <c:noMultiLvlLbl val="1"/>
      </c:catAx>
      <c:valAx>
        <c:axId val="51317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/>
                  <a:t>Kiologramos</a:t>
                </a:r>
              </a:p>
            </c:rich>
          </c:tx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.00_);\(#,##0.0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1328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MATRIZ ENERGÉTICA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9.5826571587832421E-2"/>
          <c:y val="0.25518775236195623"/>
          <c:w val="0.85577768764996109"/>
          <c:h val="0.58523854543035969"/>
        </c:manualLayout>
      </c:layout>
      <c:pie3DChart>
        <c:varyColors val="1"/>
        <c:ser>
          <c:idx val="0"/>
          <c:order val="0"/>
          <c:tx>
            <c:strRef>
              <c:f>'MATRIZ ENERGÉTICA'!$A$24:$B$24</c:f>
              <c:strCache>
                <c:ptCount val="1"/>
                <c:pt idx="0">
                  <c:v>MATRIZ ENERGETICA </c:v>
                </c:pt>
              </c:strCache>
            </c:strRef>
          </c:tx>
          <c:dPt>
            <c:idx val="0"/>
            <c:bubble3D val="0"/>
            <c:explosion val="23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1D1B-4626-81EE-6B270DD9EC79}"/>
              </c:ext>
            </c:extLst>
          </c:dPt>
          <c:dPt>
            <c:idx val="1"/>
            <c:bubble3D val="0"/>
            <c:explosion val="38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D7F5-4DE5-BE20-940689E4AD2B}"/>
              </c:ext>
            </c:extLst>
          </c:dPt>
          <c:dPt>
            <c:idx val="2"/>
            <c:bubble3D val="0"/>
            <c:explosion val="31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1D1B-4626-81EE-6B270DD9EC79}"/>
              </c:ext>
            </c:extLst>
          </c:dPt>
          <c:dPt>
            <c:idx val="3"/>
            <c:bubble3D val="0"/>
            <c:explosion val="32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7B37-41D1-BAF6-60C1F0B639CD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hade val="51000"/>
                      <a:satMod val="130000"/>
                    </a:schemeClr>
                  </a:gs>
                  <a:gs pos="80000">
                    <a:schemeClr val="accent5">
                      <a:shade val="93000"/>
                      <a:satMod val="130000"/>
                    </a:schemeClr>
                  </a:gs>
                  <a:gs pos="100000">
                    <a:schemeClr val="accent5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9-7B37-41D1-BAF6-60C1F0B639CD}"/>
              </c:ext>
            </c:extLst>
          </c:dPt>
          <c:dLbls>
            <c:dLbl>
              <c:idx val="0"/>
              <c:layout>
                <c:manualLayout>
                  <c:x val="7.3891509274078823E-2"/>
                  <c:y val="2.287575693194173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D1B-4626-81EE-6B270DD9EC79}"/>
                </c:ext>
              </c:extLst>
            </c:dLbl>
            <c:dLbl>
              <c:idx val="1"/>
              <c:layout>
                <c:manualLayout>
                  <c:x val="-4.9144785598789362E-2"/>
                  <c:y val="-1.866106075529386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7F5-4DE5-BE20-940689E4AD2B}"/>
                </c:ext>
              </c:extLst>
            </c:dLbl>
            <c:dLbl>
              <c:idx val="2"/>
              <c:layout>
                <c:manualLayout>
                  <c:x val="-5.1599522689110472E-2"/>
                  <c:y val="-2.631495213425265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D1B-4626-81EE-6B270DD9EC79}"/>
                </c:ext>
              </c:extLst>
            </c:dLbl>
            <c:dLbl>
              <c:idx val="3"/>
              <c:layout>
                <c:manualLayout>
                  <c:x val="-2.5095415235866426E-2"/>
                  <c:y val="-4.79113934752227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B37-41D1-BAF6-60C1F0B639CD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'MATRIZ ENERGÉTICA'!$A$26:$A$29</c:f>
              <c:strCache>
                <c:ptCount val="4"/>
                <c:pt idx="0">
                  <c:v>ENERGÍA ELÉCTRICA</c:v>
                </c:pt>
                <c:pt idx="1">
                  <c:v>GAS NATURAL </c:v>
                </c:pt>
                <c:pt idx="2">
                  <c:v>ACPM</c:v>
                </c:pt>
                <c:pt idx="3">
                  <c:v>GAS PROPANO</c:v>
                </c:pt>
              </c:strCache>
            </c:strRef>
          </c:cat>
          <c:val>
            <c:numRef>
              <c:f>'MATRIZ ENERGÉTICA'!$B$26:$B$29</c:f>
              <c:numCache>
                <c:formatCode>#,##0</c:formatCode>
                <c:ptCount val="4"/>
                <c:pt idx="0">
                  <c:v>7802701.2000000002</c:v>
                </c:pt>
                <c:pt idx="1">
                  <c:v>755357.90399999998</c:v>
                </c:pt>
                <c:pt idx="2">
                  <c:v>49369.719702660012</c:v>
                </c:pt>
                <c:pt idx="3">
                  <c:v>544242.12066000002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F5-4DE5-BE20-940689E4AD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MATRIZ COSTOS ENERGÉTICOS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9.2767199872257719E-2"/>
          <c:y val="0.25841280256634586"/>
          <c:w val="0.81446560025548453"/>
          <c:h val="0.56490995917177023"/>
        </c:manualLayout>
      </c:layout>
      <c:pie3DChart>
        <c:varyColors val="1"/>
        <c:ser>
          <c:idx val="0"/>
          <c:order val="0"/>
          <c:tx>
            <c:strRef>
              <c:f>'MATRIZ ENERGÉTICA'!$A$33:$C$33</c:f>
              <c:strCache>
                <c:ptCount val="1"/>
                <c:pt idx="0">
                  <c:v>MATRIZ COSTOS ENERGETICOS  </c:v>
                </c:pt>
              </c:strCache>
            </c:strRef>
          </c:tx>
          <c:explosion val="21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8F00-408E-BD18-4FE616420E8B}"/>
              </c:ext>
            </c:extLst>
          </c:dPt>
          <c:dPt>
            <c:idx val="1"/>
            <c:bubble3D val="0"/>
            <c:explosion val="47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8F00-408E-BD18-4FE616420E8B}"/>
              </c:ext>
            </c:extLst>
          </c:dPt>
          <c:dPt>
            <c:idx val="2"/>
            <c:bubble3D val="0"/>
            <c:explosion val="43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8F00-408E-BD18-4FE616420E8B}"/>
              </c:ext>
            </c:extLst>
          </c:dPt>
          <c:dPt>
            <c:idx val="3"/>
            <c:bubble3D val="0"/>
            <c:explosion val="45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FCDA-4573-B427-4AE1C266789C}"/>
              </c:ext>
            </c:extLst>
          </c:dPt>
          <c:dLbls>
            <c:dLbl>
              <c:idx val="0"/>
              <c:layout>
                <c:manualLayout>
                  <c:x val="3.5583395860563659E-2"/>
                  <c:y val="-1.229367162438032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F00-408E-BD18-4FE616420E8B}"/>
                </c:ext>
              </c:extLst>
            </c:dLbl>
            <c:dLbl>
              <c:idx val="1"/>
              <c:layout>
                <c:manualLayout>
                  <c:x val="-8.3943168747803693E-2"/>
                  <c:y val="-6.645173947607191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F00-408E-BD18-4FE616420E8B}"/>
                </c:ext>
              </c:extLst>
            </c:dLbl>
            <c:dLbl>
              <c:idx val="2"/>
              <c:layout>
                <c:manualLayout>
                  <c:x val="1.6924926244237592E-2"/>
                  <c:y val="-0.1122994925499662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F00-408E-BD18-4FE616420E8B}"/>
                </c:ext>
              </c:extLst>
            </c:dLbl>
            <c:dLbl>
              <c:idx val="3"/>
              <c:layout>
                <c:manualLayout>
                  <c:x val="0.1050687827782201"/>
                  <c:y val="-9.04822052031928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CDA-4573-B427-4AE1C266789C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'MATRIZ ENERGÉTICA'!$A$35:$A$38</c:f>
              <c:strCache>
                <c:ptCount val="4"/>
                <c:pt idx="0">
                  <c:v>ENERGÍA ELÉCTRICA</c:v>
                </c:pt>
                <c:pt idx="1">
                  <c:v>GAS NATURAL </c:v>
                </c:pt>
                <c:pt idx="2">
                  <c:v>ACPM</c:v>
                </c:pt>
                <c:pt idx="3">
                  <c:v>GAS PROPANO</c:v>
                </c:pt>
              </c:strCache>
            </c:strRef>
          </c:cat>
          <c:val>
            <c:numRef>
              <c:f>'MATRIZ ENERGÉTICA'!$B$35:$B$38</c:f>
              <c:numCache>
                <c:formatCode>[$$-240A]\ #,##0</c:formatCode>
                <c:ptCount val="4"/>
                <c:pt idx="0">
                  <c:v>4747406359.8966141</c:v>
                </c:pt>
                <c:pt idx="1">
                  <c:v>131248161.56999999</c:v>
                </c:pt>
                <c:pt idx="2">
                  <c:v>11301455.956528571</c:v>
                </c:pt>
                <c:pt idx="3">
                  <c:v>155440145.30250001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B5-40EF-B6C1-7E171A6543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Energía</a:t>
            </a:r>
            <a:r>
              <a:rPr lang="es-ES" baseline="0"/>
              <a:t> Vs Producción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'Analisis Energeticos'!$B$81:$E$81</c:f>
              <c:strCache>
                <c:ptCount val="1"/>
                <c:pt idx="0">
                  <c:v>Energía Vs Producción 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backward val="3500"/>
            <c:dispRSqr val="1"/>
            <c:dispEq val="1"/>
            <c:trendlineLbl>
              <c:layout>
                <c:manualLayout>
                  <c:x val="8.5455161854768161E-2"/>
                  <c:y val="0.28975029163021288"/>
                </c:manualLayout>
              </c:layout>
              <c:numFmt formatCode="#,##0.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</c:trendlineLbl>
          </c:trendline>
          <c:xVal>
            <c:numRef>
              <c:f>'Analisis Energeticos'!$D$85:$D$96</c:f>
              <c:numCache>
                <c:formatCode>0</c:formatCode>
                <c:ptCount val="12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1">
                  <c:v>0</c:v>
                </c:pt>
              </c:numCache>
            </c:numRef>
          </c:xVal>
          <c:yVal>
            <c:numRef>
              <c:f>'Analisis Energeticos'!$E$85:$E$96</c:f>
              <c:numCache>
                <c:formatCode>#,##0</c:formatCode>
                <c:ptCount val="12"/>
                <c:pt idx="1">
                  <c:v>769749.51093369001</c:v>
                </c:pt>
                <c:pt idx="2">
                  <c:v>846148.00049318001</c:v>
                </c:pt>
                <c:pt idx="3">
                  <c:v>614211.42189651995</c:v>
                </c:pt>
                <c:pt idx="4">
                  <c:v>686970.86957999994</c:v>
                </c:pt>
                <c:pt idx="5">
                  <c:v>490301.43850032502</c:v>
                </c:pt>
                <c:pt idx="6">
                  <c:v>744290.95346208999</c:v>
                </c:pt>
                <c:pt idx="7">
                  <c:v>826269.03480000002</c:v>
                </c:pt>
                <c:pt idx="8">
                  <c:v>833830.94298000005</c:v>
                </c:pt>
                <c:pt idx="9">
                  <c:v>905175.05264000001</c:v>
                </c:pt>
                <c:pt idx="11">
                  <c:v>808052.85168092989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B9-483A-A42A-49770E6CD4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6975664"/>
        <c:axId val="2136974032"/>
      </c:scatterChart>
      <c:valAx>
        <c:axId val="2136975664"/>
        <c:scaling>
          <c:orientation val="minMax"/>
          <c:min val="1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Producción (Ton)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36974032"/>
        <c:crosses val="autoZero"/>
        <c:crossBetween val="midCat"/>
      </c:valAx>
      <c:valAx>
        <c:axId val="2136974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36975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133351</xdr:colOff>
      <xdr:row>1</xdr:row>
      <xdr:rowOff>0</xdr:rowOff>
    </xdr:from>
    <xdr:to>
      <xdr:col>9</xdr:col>
      <xdr:colOff>247651</xdr:colOff>
      <xdr:row>4</xdr:row>
      <xdr:rowOff>85725</xdr:rowOff>
    </xdr:to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33351" y="0"/>
          <a:ext cx="6972300" cy="657225"/>
        </a:xfrm>
        <a:prstGeom prst="rect">
          <a:avLst/>
        </a:prstGeom>
        <a:noFill/>
        <a:ln>
          <a:noFill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40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CARACTERIZACIÓN</a:t>
          </a:r>
          <a:r>
            <a:rPr lang="es-CO" sz="40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ENERGÉTICA</a:t>
          </a:r>
          <a:endParaRPr lang="es-CO" sz="4000" b="1" cap="none" spc="0">
            <a:ln w="10160">
              <a:solidFill>
                <a:schemeClr val="accent5"/>
              </a:solidFill>
              <a:prstDash val="solid"/>
            </a:ln>
            <a:solidFill>
              <a:srgbClr val="FFFFFF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6</xdr:col>
      <xdr:colOff>476250</xdr:colOff>
      <xdr:row>40</xdr:row>
      <xdr:rowOff>95250</xdr:rowOff>
    </xdr:to>
    <xdr:grpSp>
      <xdr:nvGrpSpPr>
        <xdr:cNvPr id="132" name="Grupo 131">
          <a:extLst>
            <a:ext uri="{FF2B5EF4-FFF2-40B4-BE49-F238E27FC236}">
              <a16:creationId xmlns:a16="http://schemas.microsoft.com/office/drawing/2014/main" id="{70CCC05B-5287-469D-9984-E6DF7A964F7E}"/>
            </a:ext>
          </a:extLst>
        </xdr:cNvPr>
        <xdr:cNvGrpSpPr/>
      </xdr:nvGrpSpPr>
      <xdr:grpSpPr>
        <a:xfrm>
          <a:off x="0" y="381000"/>
          <a:ext cx="7124700" cy="7334250"/>
          <a:chOff x="0" y="13343283"/>
          <a:chExt cx="5615120" cy="4525011"/>
        </a:xfrm>
      </xdr:grpSpPr>
      <xdr:grpSp>
        <xdr:nvGrpSpPr>
          <xdr:cNvPr id="67" name="Grupo 66">
            <a:extLst>
              <a:ext uri="{FF2B5EF4-FFF2-40B4-BE49-F238E27FC236}">
                <a16:creationId xmlns:a16="http://schemas.microsoft.com/office/drawing/2014/main" id="{6E0B1009-7BA5-4BE8-A7A2-47121A3B30B0}"/>
              </a:ext>
            </a:extLst>
          </xdr:cNvPr>
          <xdr:cNvGrpSpPr/>
        </xdr:nvGrpSpPr>
        <xdr:grpSpPr>
          <a:xfrm>
            <a:off x="0" y="13343283"/>
            <a:ext cx="5615120" cy="4525011"/>
            <a:chOff x="0" y="0"/>
            <a:chExt cx="5630452" cy="4525012"/>
          </a:xfrm>
        </xdr:grpSpPr>
        <xdr:grpSp>
          <xdr:nvGrpSpPr>
            <xdr:cNvPr id="68" name="Grupo 67">
              <a:extLst>
                <a:ext uri="{FF2B5EF4-FFF2-40B4-BE49-F238E27FC236}">
                  <a16:creationId xmlns:a16="http://schemas.microsoft.com/office/drawing/2014/main" id="{AEF37B73-0AC3-4033-B26F-9F13E1AE5383}"/>
                </a:ext>
              </a:extLst>
            </xdr:cNvPr>
            <xdr:cNvGrpSpPr/>
          </xdr:nvGrpSpPr>
          <xdr:grpSpPr>
            <a:xfrm>
              <a:off x="0" y="0"/>
              <a:ext cx="5630452" cy="4525012"/>
              <a:chOff x="0" y="0"/>
              <a:chExt cx="5613025" cy="5898302"/>
            </a:xfrm>
          </xdr:grpSpPr>
          <xdr:sp macro="" textlink="">
            <xdr:nvSpPr>
              <xdr:cNvPr id="77" name="CuadroTexto 1">
                <a:extLst>
                  <a:ext uri="{FF2B5EF4-FFF2-40B4-BE49-F238E27FC236}">
                    <a16:creationId xmlns:a16="http://schemas.microsoft.com/office/drawing/2014/main" id="{6C635A85-9CC2-4D3F-882E-97EED0761652}"/>
                  </a:ext>
                </a:extLst>
              </xdr:cNvPr>
              <xdr:cNvSpPr txBox="1"/>
            </xdr:nvSpPr>
            <xdr:spPr>
              <a:xfrm>
                <a:off x="9525" y="0"/>
                <a:ext cx="1242731" cy="457200"/>
              </a:xfrm>
              <a:prstGeom prst="rect">
                <a:avLst/>
              </a:prstGeom>
              <a:ln/>
            </xdr:spPr>
            <xdr:style>
              <a:lnRef idx="1">
                <a:schemeClr val="accent3"/>
              </a:lnRef>
              <a:fillRef idx="3">
                <a:schemeClr val="accent3"/>
              </a:fillRef>
              <a:effectRef idx="2">
                <a:schemeClr val="accent3"/>
              </a:effectRef>
              <a:fontRef idx="minor">
                <a:schemeClr val="lt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 b="1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Proceso 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78" name="CuadroTexto 6">
                <a:extLst>
                  <a:ext uri="{FF2B5EF4-FFF2-40B4-BE49-F238E27FC236}">
                    <a16:creationId xmlns:a16="http://schemas.microsoft.com/office/drawing/2014/main" id="{A14DAB44-F657-4DA9-9BDA-A4FC8E217C1C}"/>
                  </a:ext>
                </a:extLst>
              </xdr:cNvPr>
              <xdr:cNvSpPr txBox="1"/>
            </xdr:nvSpPr>
            <xdr:spPr>
              <a:xfrm>
                <a:off x="1456765" y="0"/>
                <a:ext cx="1242731" cy="457200"/>
              </a:xfrm>
              <a:prstGeom prst="rect">
                <a:avLst/>
              </a:prstGeom>
              <a:ln/>
            </xdr:spPr>
            <xdr:style>
              <a:lnRef idx="1">
                <a:schemeClr val="accent3"/>
              </a:lnRef>
              <a:fillRef idx="3">
                <a:schemeClr val="accent3"/>
              </a:fillRef>
              <a:effectRef idx="2">
                <a:schemeClr val="accent3"/>
              </a:effectRef>
              <a:fontRef idx="minor">
                <a:schemeClr val="lt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 b="1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Entradas de energéticos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79" name="CuadroTexto 7">
                <a:extLst>
                  <a:ext uri="{FF2B5EF4-FFF2-40B4-BE49-F238E27FC236}">
                    <a16:creationId xmlns:a16="http://schemas.microsoft.com/office/drawing/2014/main" id="{981F34EA-54E1-4B4F-B620-AE451946A4A0}"/>
                  </a:ext>
                </a:extLst>
              </xdr:cNvPr>
              <xdr:cNvSpPr txBox="1"/>
            </xdr:nvSpPr>
            <xdr:spPr>
              <a:xfrm>
                <a:off x="2913529" y="0"/>
                <a:ext cx="1242732" cy="457200"/>
              </a:xfrm>
              <a:prstGeom prst="rect">
                <a:avLst/>
              </a:prstGeom>
              <a:ln/>
            </xdr:spPr>
            <xdr:style>
              <a:lnRef idx="1">
                <a:schemeClr val="accent3"/>
              </a:lnRef>
              <a:fillRef idx="3">
                <a:schemeClr val="accent3"/>
              </a:fillRef>
              <a:effectRef idx="2">
                <a:schemeClr val="accent3"/>
              </a:effectRef>
              <a:fontRef idx="minor">
                <a:schemeClr val="lt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 b="1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Uso 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80" name="CuadroTexto 8">
                <a:extLst>
                  <a:ext uri="{FF2B5EF4-FFF2-40B4-BE49-F238E27FC236}">
                    <a16:creationId xmlns:a16="http://schemas.microsoft.com/office/drawing/2014/main" id="{4D6058FD-8029-4674-B50A-BA6C6FBCD6E6}"/>
                  </a:ext>
                </a:extLst>
              </xdr:cNvPr>
              <xdr:cNvSpPr txBox="1"/>
            </xdr:nvSpPr>
            <xdr:spPr>
              <a:xfrm>
                <a:off x="4370294" y="0"/>
                <a:ext cx="1242731" cy="457200"/>
              </a:xfrm>
              <a:prstGeom prst="rect">
                <a:avLst/>
              </a:prstGeom>
              <a:ln/>
            </xdr:spPr>
            <xdr:style>
              <a:lnRef idx="1">
                <a:schemeClr val="accent3"/>
              </a:lnRef>
              <a:fillRef idx="3">
                <a:schemeClr val="accent3"/>
              </a:fillRef>
              <a:effectRef idx="2">
                <a:schemeClr val="accent3"/>
              </a:effectRef>
              <a:fontRef idx="minor">
                <a:schemeClr val="lt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 b="1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Salida de productos 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81" name="CuadroTexto 9">
                <a:extLst>
                  <a:ext uri="{FF2B5EF4-FFF2-40B4-BE49-F238E27FC236}">
                    <a16:creationId xmlns:a16="http://schemas.microsoft.com/office/drawing/2014/main" id="{C86F50DD-953C-4FC8-999E-C85E5E75D701}"/>
                  </a:ext>
                </a:extLst>
              </xdr:cNvPr>
              <xdr:cNvSpPr txBox="1"/>
            </xdr:nvSpPr>
            <xdr:spPr>
              <a:xfrm>
                <a:off x="0" y="1524000"/>
                <a:ext cx="1237689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Diseñoy</a:t>
                </a:r>
                <a:r>
                  <a:rPr lang="es-ES_tradnl" sz="900" baseline="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 desarrollo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82" name="CuadroTexto 10">
                <a:extLst>
                  <a:ext uri="{FF2B5EF4-FFF2-40B4-BE49-F238E27FC236}">
                    <a16:creationId xmlns:a16="http://schemas.microsoft.com/office/drawing/2014/main" id="{3A36F888-19C8-44B2-BDA8-5B5A01CE47F8}"/>
                  </a:ext>
                </a:extLst>
              </xdr:cNvPr>
              <xdr:cNvSpPr txBox="1"/>
            </xdr:nvSpPr>
            <xdr:spPr>
              <a:xfrm>
                <a:off x="4483" y="762000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Suple Chain (MP)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83" name="CuadroTexto 11">
                <a:extLst>
                  <a:ext uri="{FF2B5EF4-FFF2-40B4-BE49-F238E27FC236}">
                    <a16:creationId xmlns:a16="http://schemas.microsoft.com/office/drawing/2014/main" id="{0019493C-778A-408D-8E14-B18493E6EAAA}"/>
                  </a:ext>
                </a:extLst>
              </xdr:cNvPr>
              <xdr:cNvSpPr txBox="1"/>
            </xdr:nvSpPr>
            <xdr:spPr>
              <a:xfrm>
                <a:off x="4483" y="2286000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Sistemas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84" name="CuadroTexto 12">
                <a:extLst>
                  <a:ext uri="{FF2B5EF4-FFF2-40B4-BE49-F238E27FC236}">
                    <a16:creationId xmlns:a16="http://schemas.microsoft.com/office/drawing/2014/main" id="{698EA9B4-7EA4-4230-A272-1B9373F6036B}"/>
                  </a:ext>
                </a:extLst>
              </xdr:cNvPr>
              <xdr:cNvSpPr txBox="1"/>
            </xdr:nvSpPr>
            <xdr:spPr>
              <a:xfrm>
                <a:off x="2913529" y="2286000"/>
                <a:ext cx="1242732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MX" sz="900"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Procesamiento y almacenamiento de informacion electronicade la compañia</a:t>
                </a:r>
              </a:p>
            </xdr:txBody>
          </xdr:sp>
          <xdr:sp macro="" textlink="">
            <xdr:nvSpPr>
              <xdr:cNvPr id="85" name="CuadroTexto 13">
                <a:extLst>
                  <a:ext uri="{FF2B5EF4-FFF2-40B4-BE49-F238E27FC236}">
                    <a16:creationId xmlns:a16="http://schemas.microsoft.com/office/drawing/2014/main" id="{5F6F32E0-084F-4485-AE91-D5765EA0FAEA}"/>
                  </a:ext>
                </a:extLst>
              </xdr:cNvPr>
              <xdr:cNvSpPr txBox="1"/>
            </xdr:nvSpPr>
            <xdr:spPr>
              <a:xfrm>
                <a:off x="4370294" y="2286000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MX" sz="900"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informacion</a:t>
                </a:r>
              </a:p>
            </xdr:txBody>
          </xdr:sp>
          <xdr:sp macro="" textlink="">
            <xdr:nvSpPr>
              <xdr:cNvPr id="86" name="CuadroTexto 14">
                <a:extLst>
                  <a:ext uri="{FF2B5EF4-FFF2-40B4-BE49-F238E27FC236}">
                    <a16:creationId xmlns:a16="http://schemas.microsoft.com/office/drawing/2014/main" id="{BAFF33EA-2335-4C22-AD96-832FE9F0827D}"/>
                  </a:ext>
                </a:extLst>
              </xdr:cNvPr>
              <xdr:cNvSpPr txBox="1"/>
            </xdr:nvSpPr>
            <xdr:spPr>
              <a:xfrm>
                <a:off x="2913529" y="1524000"/>
                <a:ext cx="1242732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Trabajo</a:t>
                </a:r>
                <a:r>
                  <a:rPr lang="es-ES_tradnl" sz="900" baseline="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 de oficina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87" name="CuadroTexto 15">
                <a:extLst>
                  <a:ext uri="{FF2B5EF4-FFF2-40B4-BE49-F238E27FC236}">
                    <a16:creationId xmlns:a16="http://schemas.microsoft.com/office/drawing/2014/main" id="{F6FAFA70-5AF2-4ED9-BB65-E158AF58C613}"/>
                  </a:ext>
                </a:extLst>
              </xdr:cNvPr>
              <xdr:cNvSpPr txBox="1"/>
            </xdr:nvSpPr>
            <xdr:spPr>
              <a:xfrm>
                <a:off x="4370294" y="1524000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MX" sz="900"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Equipo de computo y telecomunicaciones</a:t>
                </a:r>
              </a:p>
            </xdr:txBody>
          </xdr:sp>
          <xdr:sp macro="" textlink="">
            <xdr:nvSpPr>
              <xdr:cNvPr id="88" name="CuadroTexto 16">
                <a:extLst>
                  <a:ext uri="{FF2B5EF4-FFF2-40B4-BE49-F238E27FC236}">
                    <a16:creationId xmlns:a16="http://schemas.microsoft.com/office/drawing/2014/main" id="{5336B393-08B9-4D56-9A1F-AF4070B8CEC3}"/>
                  </a:ext>
                </a:extLst>
              </xdr:cNvPr>
              <xdr:cNvSpPr txBox="1"/>
            </xdr:nvSpPr>
            <xdr:spPr>
              <a:xfrm>
                <a:off x="2913529" y="762000"/>
                <a:ext cx="1242732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iluminacion,trabajo</a:t>
                </a:r>
                <a:r>
                  <a:rPr lang="es-ES_tradnl" sz="900" baseline="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 de oficina, transporte de material interno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89" name="CuadroTexto 17">
                <a:extLst>
                  <a:ext uri="{FF2B5EF4-FFF2-40B4-BE49-F238E27FC236}">
                    <a16:creationId xmlns:a16="http://schemas.microsoft.com/office/drawing/2014/main" id="{A67D1C4E-61B8-4A8E-9518-642B537D1D80}"/>
                  </a:ext>
                </a:extLst>
              </xdr:cNvPr>
              <xdr:cNvSpPr txBox="1"/>
            </xdr:nvSpPr>
            <xdr:spPr>
              <a:xfrm>
                <a:off x="4370294" y="762000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Materias primas,</a:t>
                </a:r>
                <a:r>
                  <a:rPr lang="es-ES_tradnl" sz="900" baseline="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 Equipo de compto, iluminarias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90" name="CuadroTexto 18">
                <a:extLst>
                  <a:ext uri="{FF2B5EF4-FFF2-40B4-BE49-F238E27FC236}">
                    <a16:creationId xmlns:a16="http://schemas.microsoft.com/office/drawing/2014/main" id="{EA1D31FE-4C7D-474E-A2E6-2C2B32DFCA63}"/>
                  </a:ext>
                </a:extLst>
              </xdr:cNvPr>
              <xdr:cNvSpPr txBox="1"/>
            </xdr:nvSpPr>
            <xdr:spPr>
              <a:xfrm>
                <a:off x="4481" y="3917102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Cableados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91" name="CuadroTexto 19">
                <a:extLst>
                  <a:ext uri="{FF2B5EF4-FFF2-40B4-BE49-F238E27FC236}">
                    <a16:creationId xmlns:a16="http://schemas.microsoft.com/office/drawing/2014/main" id="{C8C09FC7-A5E2-4B91-BD66-B0E2C7BE111A}"/>
                  </a:ext>
                </a:extLst>
              </xdr:cNvPr>
              <xdr:cNvSpPr txBox="1"/>
            </xdr:nvSpPr>
            <xdr:spPr>
              <a:xfrm>
                <a:off x="4481" y="4679101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Forrados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92" name="CuadroTexto 20">
                <a:extLst>
                  <a:ext uri="{FF2B5EF4-FFF2-40B4-BE49-F238E27FC236}">
                    <a16:creationId xmlns:a16="http://schemas.microsoft.com/office/drawing/2014/main" id="{C5561E84-D5BF-49D3-8F67-D301951D7518}"/>
                  </a:ext>
                </a:extLst>
              </xdr:cNvPr>
              <xdr:cNvSpPr txBox="1"/>
            </xdr:nvSpPr>
            <xdr:spPr>
              <a:xfrm>
                <a:off x="4481" y="5441102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Empaque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93" name="CuadroTexto 21">
                <a:extLst>
                  <a:ext uri="{FF2B5EF4-FFF2-40B4-BE49-F238E27FC236}">
                    <a16:creationId xmlns:a16="http://schemas.microsoft.com/office/drawing/2014/main" id="{6AAC4D2E-A9DC-46F8-BBE2-588279DDDC7F}"/>
                  </a:ext>
                </a:extLst>
              </xdr:cNvPr>
              <xdr:cNvSpPr txBox="1"/>
            </xdr:nvSpPr>
            <xdr:spPr>
              <a:xfrm>
                <a:off x="1476444" y="1524000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Energia</a:t>
                </a:r>
                <a:r>
                  <a:rPr lang="es-ES_tradnl" sz="900" baseline="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 electrica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94" name="CuadroTexto 22">
                <a:extLst>
                  <a:ext uri="{FF2B5EF4-FFF2-40B4-BE49-F238E27FC236}">
                    <a16:creationId xmlns:a16="http://schemas.microsoft.com/office/drawing/2014/main" id="{4E986610-9D3D-4605-9369-67C2C7C4B64F}"/>
                  </a:ext>
                </a:extLst>
              </xdr:cNvPr>
              <xdr:cNvSpPr txBox="1"/>
            </xdr:nvSpPr>
            <xdr:spPr>
              <a:xfrm>
                <a:off x="1485970" y="762000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Energia</a:t>
                </a:r>
                <a:r>
                  <a:rPr lang="es-ES_tradnl" sz="900" baseline="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 electrica, Gas propano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95" name="CuadroTexto 23">
                <a:extLst>
                  <a:ext uri="{FF2B5EF4-FFF2-40B4-BE49-F238E27FC236}">
                    <a16:creationId xmlns:a16="http://schemas.microsoft.com/office/drawing/2014/main" id="{2C9AE5FC-D3D5-46B9-A49B-12101C30F6AA}"/>
                  </a:ext>
                </a:extLst>
              </xdr:cNvPr>
              <xdr:cNvSpPr txBox="1"/>
            </xdr:nvSpPr>
            <xdr:spPr>
              <a:xfrm>
                <a:off x="1485969" y="2286002"/>
                <a:ext cx="1242731" cy="507538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Energiaelectrica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96" name="CuadroTexto 24">
                <a:extLst>
                  <a:ext uri="{FF2B5EF4-FFF2-40B4-BE49-F238E27FC236}">
                    <a16:creationId xmlns:a16="http://schemas.microsoft.com/office/drawing/2014/main" id="{3C329E61-2948-4297-908C-E4558ABA04AE}"/>
                  </a:ext>
                </a:extLst>
              </xdr:cNvPr>
              <xdr:cNvSpPr txBox="1"/>
            </xdr:nvSpPr>
            <xdr:spPr>
              <a:xfrm>
                <a:off x="1485967" y="3929136"/>
                <a:ext cx="1242731" cy="60149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MX" sz="1100"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Energia</a:t>
                </a:r>
                <a:r>
                  <a:rPr lang="es-MX" sz="1100" baseline="0"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 electrica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97" name="CuadroTexto 25">
                <a:extLst>
                  <a:ext uri="{FF2B5EF4-FFF2-40B4-BE49-F238E27FC236}">
                    <a16:creationId xmlns:a16="http://schemas.microsoft.com/office/drawing/2014/main" id="{7D3E3659-4DE4-43C0-B1F5-3930998B664F}"/>
                  </a:ext>
                </a:extLst>
              </xdr:cNvPr>
              <xdr:cNvSpPr txBox="1"/>
            </xdr:nvSpPr>
            <xdr:spPr>
              <a:xfrm>
                <a:off x="1485967" y="4679101"/>
                <a:ext cx="1242731" cy="597586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Gas</a:t>
                </a:r>
                <a:r>
                  <a:rPr lang="es-ES_tradnl" sz="900" baseline="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 propano, Energia electric, Gas natural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98" name="CuadroTexto 26">
                <a:extLst>
                  <a:ext uri="{FF2B5EF4-FFF2-40B4-BE49-F238E27FC236}">
                    <a16:creationId xmlns:a16="http://schemas.microsoft.com/office/drawing/2014/main" id="{F19D4FF7-195D-4C90-8FFA-6475940419D6}"/>
                  </a:ext>
                </a:extLst>
              </xdr:cNvPr>
              <xdr:cNvSpPr txBox="1"/>
            </xdr:nvSpPr>
            <xdr:spPr>
              <a:xfrm>
                <a:off x="1485967" y="5441102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MX" sz="1100"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Gas propano,</a:t>
                </a:r>
                <a:r>
                  <a:rPr lang="es-MX" sz="1100" baseline="0"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 Energia electrica, 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99" name="CuadroTexto 27">
                <a:extLst>
                  <a:ext uri="{FF2B5EF4-FFF2-40B4-BE49-F238E27FC236}">
                    <a16:creationId xmlns:a16="http://schemas.microsoft.com/office/drawing/2014/main" id="{3E4C1675-51F5-4408-91CB-44B84848A424}"/>
                  </a:ext>
                </a:extLst>
              </xdr:cNvPr>
              <xdr:cNvSpPr txBox="1"/>
            </xdr:nvSpPr>
            <xdr:spPr>
              <a:xfrm>
                <a:off x="2913527" y="3917102"/>
                <a:ext cx="1242732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embobinar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100" name="CuadroTexto 28">
                <a:extLst>
                  <a:ext uri="{FF2B5EF4-FFF2-40B4-BE49-F238E27FC236}">
                    <a16:creationId xmlns:a16="http://schemas.microsoft.com/office/drawing/2014/main" id="{C1423ECE-3C79-48D8-A259-2657CDF3AE36}"/>
                  </a:ext>
                </a:extLst>
              </xdr:cNvPr>
              <xdr:cNvSpPr txBox="1"/>
            </xdr:nvSpPr>
            <xdr:spPr>
              <a:xfrm>
                <a:off x="2913527" y="4679099"/>
                <a:ext cx="1242732" cy="610096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Transporte</a:t>
                </a:r>
                <a:r>
                  <a:rPr lang="es-ES_tradnl" sz="900" baseline="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 del material, alistamiento del cable, Marcacion del cable, reticulado al vapor, empaque del producto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101" name="CuadroTexto 29">
                <a:extLst>
                  <a:ext uri="{FF2B5EF4-FFF2-40B4-BE49-F238E27FC236}">
                    <a16:creationId xmlns:a16="http://schemas.microsoft.com/office/drawing/2014/main" id="{0CBB8AAF-DC77-44D1-8265-1E63119EC1DD}"/>
                  </a:ext>
                </a:extLst>
              </xdr:cNvPr>
              <xdr:cNvSpPr txBox="1"/>
            </xdr:nvSpPr>
            <xdr:spPr>
              <a:xfrm>
                <a:off x="2913527" y="5441102"/>
                <a:ext cx="1242732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transporte del montacargasembobinar, fraccionadores, termoencogible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102" name="CuadroTexto 30">
                <a:extLst>
                  <a:ext uri="{FF2B5EF4-FFF2-40B4-BE49-F238E27FC236}">
                    <a16:creationId xmlns:a16="http://schemas.microsoft.com/office/drawing/2014/main" id="{62901703-BBF4-4CC9-9115-8DD50217E5A4}"/>
                  </a:ext>
                </a:extLst>
              </xdr:cNvPr>
              <xdr:cNvSpPr txBox="1"/>
            </xdr:nvSpPr>
            <xdr:spPr>
              <a:xfrm>
                <a:off x="4370292" y="3917102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Cable trenzado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103" name="CuadroTexto 31">
                <a:extLst>
                  <a:ext uri="{FF2B5EF4-FFF2-40B4-BE49-F238E27FC236}">
                    <a16:creationId xmlns:a16="http://schemas.microsoft.com/office/drawing/2014/main" id="{80A922BA-C15E-4389-A2C6-DE3AFBD537F2}"/>
                  </a:ext>
                </a:extLst>
              </xdr:cNvPr>
              <xdr:cNvSpPr txBox="1"/>
            </xdr:nvSpPr>
            <xdr:spPr>
              <a:xfrm>
                <a:off x="4370292" y="4679100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MX" sz="1100"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Cable forrado</a:t>
                </a:r>
              </a:p>
            </xdr:txBody>
          </xdr:sp>
          <xdr:sp macro="" textlink="">
            <xdr:nvSpPr>
              <xdr:cNvPr id="104" name="CuadroTexto 32">
                <a:extLst>
                  <a:ext uri="{FF2B5EF4-FFF2-40B4-BE49-F238E27FC236}">
                    <a16:creationId xmlns:a16="http://schemas.microsoft.com/office/drawing/2014/main" id="{F41A5345-17A9-462E-B094-D582DF6DA0C1}"/>
                  </a:ext>
                </a:extLst>
              </xdr:cNvPr>
              <xdr:cNvSpPr txBox="1"/>
            </xdr:nvSpPr>
            <xdr:spPr>
              <a:xfrm>
                <a:off x="4370292" y="5441102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MX" sz="1100"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Cable empacado</a:t>
                </a:r>
              </a:p>
            </xdr:txBody>
          </xdr:sp>
          <xdr:sp macro="" textlink="">
            <xdr:nvSpPr>
              <xdr:cNvPr id="105" name="Flecha: hacia abajo 104">
                <a:extLst>
                  <a:ext uri="{FF2B5EF4-FFF2-40B4-BE49-F238E27FC236}">
                    <a16:creationId xmlns:a16="http://schemas.microsoft.com/office/drawing/2014/main" id="{55D3FB5E-D85C-409B-A91D-0ADAEB520CEC}"/>
                  </a:ext>
                </a:extLst>
              </xdr:cNvPr>
              <xdr:cNvSpPr/>
            </xdr:nvSpPr>
            <xdr:spPr>
              <a:xfrm>
                <a:off x="523245" y="536291"/>
                <a:ext cx="190500" cy="171451"/>
              </a:xfrm>
              <a:prstGeom prst="downArrow">
                <a:avLst/>
              </a:prstGeom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06" name="Flecha: hacia abajo 105">
                <a:extLst>
                  <a:ext uri="{FF2B5EF4-FFF2-40B4-BE49-F238E27FC236}">
                    <a16:creationId xmlns:a16="http://schemas.microsoft.com/office/drawing/2014/main" id="{08C4CDE6-55F4-454F-AF59-4876974D7434}"/>
                  </a:ext>
                </a:extLst>
              </xdr:cNvPr>
              <xdr:cNvSpPr/>
            </xdr:nvSpPr>
            <xdr:spPr>
              <a:xfrm>
                <a:off x="513720" y="1298291"/>
                <a:ext cx="190500" cy="171451"/>
              </a:xfrm>
              <a:prstGeom prst="downArrow">
                <a:avLst/>
              </a:prstGeom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07" name="Flecha: hacia abajo 106">
                <a:extLst>
                  <a:ext uri="{FF2B5EF4-FFF2-40B4-BE49-F238E27FC236}">
                    <a16:creationId xmlns:a16="http://schemas.microsoft.com/office/drawing/2014/main" id="{41E0EA23-E5AA-4A4E-A922-7DD31BC6EB1E}"/>
                  </a:ext>
                </a:extLst>
              </xdr:cNvPr>
              <xdr:cNvSpPr/>
            </xdr:nvSpPr>
            <xdr:spPr>
              <a:xfrm>
                <a:off x="513720" y="2060291"/>
                <a:ext cx="190500" cy="171451"/>
              </a:xfrm>
              <a:prstGeom prst="downArrow">
                <a:avLst/>
              </a:prstGeom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08" name="Flecha: hacia abajo 107">
                <a:extLst>
                  <a:ext uri="{FF2B5EF4-FFF2-40B4-BE49-F238E27FC236}">
                    <a16:creationId xmlns:a16="http://schemas.microsoft.com/office/drawing/2014/main" id="{5D6E3A5D-B782-43CC-B20C-414F6D666D94}"/>
                  </a:ext>
                </a:extLst>
              </xdr:cNvPr>
              <xdr:cNvSpPr/>
            </xdr:nvSpPr>
            <xdr:spPr>
              <a:xfrm>
                <a:off x="513720" y="2841341"/>
                <a:ext cx="190500" cy="171451"/>
              </a:xfrm>
              <a:prstGeom prst="downArrow">
                <a:avLst/>
              </a:prstGeom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09" name="Flecha: hacia abajo 108">
                <a:extLst>
                  <a:ext uri="{FF2B5EF4-FFF2-40B4-BE49-F238E27FC236}">
                    <a16:creationId xmlns:a16="http://schemas.microsoft.com/office/drawing/2014/main" id="{FE00D160-9EE7-4B03-BDE2-D84E2539FC26}"/>
                  </a:ext>
                </a:extLst>
              </xdr:cNvPr>
              <xdr:cNvSpPr/>
            </xdr:nvSpPr>
            <xdr:spPr>
              <a:xfrm>
                <a:off x="513720" y="4443869"/>
                <a:ext cx="190500" cy="171451"/>
              </a:xfrm>
              <a:prstGeom prst="downArrow">
                <a:avLst/>
              </a:prstGeom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10" name="Flecha: hacia abajo 109">
                <a:extLst>
                  <a:ext uri="{FF2B5EF4-FFF2-40B4-BE49-F238E27FC236}">
                    <a16:creationId xmlns:a16="http://schemas.microsoft.com/office/drawing/2014/main" id="{5908E7B5-BCF4-452E-84E0-C57076AD1B81}"/>
                  </a:ext>
                </a:extLst>
              </xdr:cNvPr>
              <xdr:cNvSpPr/>
            </xdr:nvSpPr>
            <xdr:spPr>
              <a:xfrm>
                <a:off x="513720" y="5224917"/>
                <a:ext cx="190500" cy="171451"/>
              </a:xfrm>
              <a:prstGeom prst="downArrow">
                <a:avLst/>
              </a:prstGeom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11" name="Flecha: hacia abajo 110">
                <a:extLst>
                  <a:ext uri="{FF2B5EF4-FFF2-40B4-BE49-F238E27FC236}">
                    <a16:creationId xmlns:a16="http://schemas.microsoft.com/office/drawing/2014/main" id="{E4D35CAF-F37F-431D-B063-D13832C032E9}"/>
                  </a:ext>
                </a:extLst>
              </xdr:cNvPr>
              <xdr:cNvSpPr/>
            </xdr:nvSpPr>
            <xdr:spPr>
              <a:xfrm rot="16200000">
                <a:off x="1271305" y="142875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12" name="Flecha: hacia abajo 111">
                <a:extLst>
                  <a:ext uri="{FF2B5EF4-FFF2-40B4-BE49-F238E27FC236}">
                    <a16:creationId xmlns:a16="http://schemas.microsoft.com/office/drawing/2014/main" id="{D718685B-9589-4F34-AF70-F38C624A4617}"/>
                  </a:ext>
                </a:extLst>
              </xdr:cNvPr>
              <xdr:cNvSpPr/>
            </xdr:nvSpPr>
            <xdr:spPr>
              <a:xfrm rot="16200000">
                <a:off x="4175310" y="142875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13" name="Flecha: hacia abajo 112">
                <a:extLst>
                  <a:ext uri="{FF2B5EF4-FFF2-40B4-BE49-F238E27FC236}">
                    <a16:creationId xmlns:a16="http://schemas.microsoft.com/office/drawing/2014/main" id="{7EACD75C-C8E1-4EBB-97DE-94628AE42193}"/>
                  </a:ext>
                </a:extLst>
              </xdr:cNvPr>
              <xdr:cNvSpPr/>
            </xdr:nvSpPr>
            <xdr:spPr>
              <a:xfrm rot="16200000">
                <a:off x="1271305" y="895350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14" name="Flecha: hacia abajo 113">
                <a:extLst>
                  <a:ext uri="{FF2B5EF4-FFF2-40B4-BE49-F238E27FC236}">
                    <a16:creationId xmlns:a16="http://schemas.microsoft.com/office/drawing/2014/main" id="{FFC9A741-B944-4E5C-BA3A-CA587BE03875}"/>
                  </a:ext>
                </a:extLst>
              </xdr:cNvPr>
              <xdr:cNvSpPr/>
            </xdr:nvSpPr>
            <xdr:spPr>
              <a:xfrm rot="16200000">
                <a:off x="2718545" y="895350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15" name="Flecha: hacia abajo 114">
                <a:extLst>
                  <a:ext uri="{FF2B5EF4-FFF2-40B4-BE49-F238E27FC236}">
                    <a16:creationId xmlns:a16="http://schemas.microsoft.com/office/drawing/2014/main" id="{E65E9670-CA8F-4713-A40E-93FDFEF8D7D8}"/>
                  </a:ext>
                </a:extLst>
              </xdr:cNvPr>
              <xdr:cNvSpPr/>
            </xdr:nvSpPr>
            <xdr:spPr>
              <a:xfrm rot="16200000">
                <a:off x="4175310" y="895350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16" name="Flecha: hacia abajo 115">
                <a:extLst>
                  <a:ext uri="{FF2B5EF4-FFF2-40B4-BE49-F238E27FC236}">
                    <a16:creationId xmlns:a16="http://schemas.microsoft.com/office/drawing/2014/main" id="{AC2DDE1D-5075-4591-9D4B-A4DF98D05F01}"/>
                  </a:ext>
                </a:extLst>
              </xdr:cNvPr>
              <xdr:cNvSpPr/>
            </xdr:nvSpPr>
            <xdr:spPr>
              <a:xfrm rot="16200000">
                <a:off x="1271305" y="1638300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17" name="Flecha: hacia abajo 116">
                <a:extLst>
                  <a:ext uri="{FF2B5EF4-FFF2-40B4-BE49-F238E27FC236}">
                    <a16:creationId xmlns:a16="http://schemas.microsoft.com/office/drawing/2014/main" id="{691AFB02-0CF3-4CBD-B370-D36F00C0350C}"/>
                  </a:ext>
                </a:extLst>
              </xdr:cNvPr>
              <xdr:cNvSpPr/>
            </xdr:nvSpPr>
            <xdr:spPr>
              <a:xfrm rot="16200000">
                <a:off x="2718545" y="1638300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18" name="Flecha: hacia abajo 117">
                <a:extLst>
                  <a:ext uri="{FF2B5EF4-FFF2-40B4-BE49-F238E27FC236}">
                    <a16:creationId xmlns:a16="http://schemas.microsoft.com/office/drawing/2014/main" id="{A2C38AE1-37DF-44FE-8484-1295297E5223}"/>
                  </a:ext>
                </a:extLst>
              </xdr:cNvPr>
              <xdr:cNvSpPr/>
            </xdr:nvSpPr>
            <xdr:spPr>
              <a:xfrm rot="16200000">
                <a:off x="4175310" y="1638300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19" name="Flecha: hacia abajo 118">
                <a:extLst>
                  <a:ext uri="{FF2B5EF4-FFF2-40B4-BE49-F238E27FC236}">
                    <a16:creationId xmlns:a16="http://schemas.microsoft.com/office/drawing/2014/main" id="{7ABF38F2-299B-4CD3-8C6D-7481249AFF89}"/>
                  </a:ext>
                </a:extLst>
              </xdr:cNvPr>
              <xdr:cNvSpPr/>
            </xdr:nvSpPr>
            <xdr:spPr>
              <a:xfrm rot="16200000">
                <a:off x="1271305" y="2419350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20" name="Flecha: hacia abajo 119">
                <a:extLst>
                  <a:ext uri="{FF2B5EF4-FFF2-40B4-BE49-F238E27FC236}">
                    <a16:creationId xmlns:a16="http://schemas.microsoft.com/office/drawing/2014/main" id="{915FC574-AFED-4817-A2F6-E4917D723054}"/>
                  </a:ext>
                </a:extLst>
              </xdr:cNvPr>
              <xdr:cNvSpPr/>
            </xdr:nvSpPr>
            <xdr:spPr>
              <a:xfrm rot="16200000">
                <a:off x="2718545" y="2419350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21" name="Flecha: hacia abajo 120">
                <a:extLst>
                  <a:ext uri="{FF2B5EF4-FFF2-40B4-BE49-F238E27FC236}">
                    <a16:creationId xmlns:a16="http://schemas.microsoft.com/office/drawing/2014/main" id="{30268B28-1B4B-45A8-BD02-44235010D5A5}"/>
                  </a:ext>
                </a:extLst>
              </xdr:cNvPr>
              <xdr:cNvSpPr/>
            </xdr:nvSpPr>
            <xdr:spPr>
              <a:xfrm rot="16200000">
                <a:off x="4175310" y="2419350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22" name="Flecha: hacia abajo 121">
                <a:extLst>
                  <a:ext uri="{FF2B5EF4-FFF2-40B4-BE49-F238E27FC236}">
                    <a16:creationId xmlns:a16="http://schemas.microsoft.com/office/drawing/2014/main" id="{28298B80-39E9-43BD-8DBD-F482EBBF81E4}"/>
                  </a:ext>
                </a:extLst>
              </xdr:cNvPr>
              <xdr:cNvSpPr/>
            </xdr:nvSpPr>
            <xdr:spPr>
              <a:xfrm rot="16200000">
                <a:off x="1271305" y="4050451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23" name="Flecha: hacia abajo 122">
                <a:extLst>
                  <a:ext uri="{FF2B5EF4-FFF2-40B4-BE49-F238E27FC236}">
                    <a16:creationId xmlns:a16="http://schemas.microsoft.com/office/drawing/2014/main" id="{897A126B-53B7-48BA-BA02-7400A3B562FE}"/>
                  </a:ext>
                </a:extLst>
              </xdr:cNvPr>
              <xdr:cNvSpPr/>
            </xdr:nvSpPr>
            <xdr:spPr>
              <a:xfrm rot="16200000">
                <a:off x="2718546" y="4050451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24" name="Flecha: hacia abajo 123">
                <a:extLst>
                  <a:ext uri="{FF2B5EF4-FFF2-40B4-BE49-F238E27FC236}">
                    <a16:creationId xmlns:a16="http://schemas.microsoft.com/office/drawing/2014/main" id="{C53EEEBF-AEB2-4587-9CC9-79BF3378D45B}"/>
                  </a:ext>
                </a:extLst>
              </xdr:cNvPr>
              <xdr:cNvSpPr/>
            </xdr:nvSpPr>
            <xdr:spPr>
              <a:xfrm rot="16200000">
                <a:off x="4175311" y="4050451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25" name="Flecha: hacia abajo 124">
                <a:extLst>
                  <a:ext uri="{FF2B5EF4-FFF2-40B4-BE49-F238E27FC236}">
                    <a16:creationId xmlns:a16="http://schemas.microsoft.com/office/drawing/2014/main" id="{AF222E0B-34B0-487F-B278-BD8095159777}"/>
                  </a:ext>
                </a:extLst>
              </xdr:cNvPr>
              <xdr:cNvSpPr/>
            </xdr:nvSpPr>
            <xdr:spPr>
              <a:xfrm rot="16200000">
                <a:off x="1271305" y="4812451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26" name="Flecha: hacia abajo 125">
                <a:extLst>
                  <a:ext uri="{FF2B5EF4-FFF2-40B4-BE49-F238E27FC236}">
                    <a16:creationId xmlns:a16="http://schemas.microsoft.com/office/drawing/2014/main" id="{9F778555-E9E3-45D7-AB23-1507C0B535F2}"/>
                  </a:ext>
                </a:extLst>
              </xdr:cNvPr>
              <xdr:cNvSpPr/>
            </xdr:nvSpPr>
            <xdr:spPr>
              <a:xfrm rot="16200000">
                <a:off x="2718546" y="4812451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27" name="Flecha: hacia abajo 126">
                <a:extLst>
                  <a:ext uri="{FF2B5EF4-FFF2-40B4-BE49-F238E27FC236}">
                    <a16:creationId xmlns:a16="http://schemas.microsoft.com/office/drawing/2014/main" id="{15AF1194-1DCB-472D-9418-2179E419A402}"/>
                  </a:ext>
                </a:extLst>
              </xdr:cNvPr>
              <xdr:cNvSpPr/>
            </xdr:nvSpPr>
            <xdr:spPr>
              <a:xfrm rot="16200000">
                <a:off x="4175311" y="4812451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28" name="Flecha: hacia abajo 127">
                <a:extLst>
                  <a:ext uri="{FF2B5EF4-FFF2-40B4-BE49-F238E27FC236}">
                    <a16:creationId xmlns:a16="http://schemas.microsoft.com/office/drawing/2014/main" id="{C0D676DC-371A-4F28-B18C-16364628785B}"/>
                  </a:ext>
                </a:extLst>
              </xdr:cNvPr>
              <xdr:cNvSpPr/>
            </xdr:nvSpPr>
            <xdr:spPr>
              <a:xfrm rot="16200000">
                <a:off x="1261781" y="5564927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29" name="Flecha: hacia abajo 128">
                <a:extLst>
                  <a:ext uri="{FF2B5EF4-FFF2-40B4-BE49-F238E27FC236}">
                    <a16:creationId xmlns:a16="http://schemas.microsoft.com/office/drawing/2014/main" id="{AC337842-528F-4A26-975C-331262000CD9}"/>
                  </a:ext>
                </a:extLst>
              </xdr:cNvPr>
              <xdr:cNvSpPr/>
            </xdr:nvSpPr>
            <xdr:spPr>
              <a:xfrm rot="16200000">
                <a:off x="2709020" y="5564927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30" name="Flecha: hacia abajo 129">
                <a:extLst>
                  <a:ext uri="{FF2B5EF4-FFF2-40B4-BE49-F238E27FC236}">
                    <a16:creationId xmlns:a16="http://schemas.microsoft.com/office/drawing/2014/main" id="{D5CE0E88-F050-40AB-B852-EE236414ECBB}"/>
                  </a:ext>
                </a:extLst>
              </xdr:cNvPr>
              <xdr:cNvSpPr/>
            </xdr:nvSpPr>
            <xdr:spPr>
              <a:xfrm rot="16200000">
                <a:off x="4165785" y="5564927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</xdr:grpSp>
        <xdr:sp macro="" textlink="">
          <xdr:nvSpPr>
            <xdr:cNvPr id="69" name="CuadroTexto 18">
              <a:extLst>
                <a:ext uri="{FF2B5EF4-FFF2-40B4-BE49-F238E27FC236}">
                  <a16:creationId xmlns:a16="http://schemas.microsoft.com/office/drawing/2014/main" id="{C571E734-E2ED-4644-AE37-62346146379C}"/>
                </a:ext>
              </a:extLst>
            </xdr:cNvPr>
            <xdr:cNvSpPr txBox="1"/>
          </xdr:nvSpPr>
          <xdr:spPr>
            <a:xfrm>
              <a:off x="0" y="2372018"/>
              <a:ext cx="1242673" cy="350751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algn="ctr">
                <a:spcAft>
                  <a:spcPts val="0"/>
                </a:spcAft>
              </a:pPr>
              <a:r>
                <a:rPr lang="es-ES_tradnl" sz="900">
                  <a:solidFill>
                    <a:srgbClr val="000000"/>
                  </a:solidFill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rPr>
                <a:t>Trefilado</a:t>
              </a:r>
              <a:endParaRPr lang="es-MX" sz="1100">
                <a:effectLst/>
                <a:latin typeface="Trebuchet MS" panose="020B0603020202020204" pitchFamily="34" charset="0"/>
                <a:ea typeface="Times New Roman" panose="02020603050405020304" pitchFamily="18" charset="0"/>
                <a:cs typeface="Arial" panose="020B0604020202020204" pitchFamily="34" charset="0"/>
              </a:endParaRPr>
            </a:p>
          </xdr:txBody>
        </xdr:sp>
        <xdr:sp macro="" textlink="">
          <xdr:nvSpPr>
            <xdr:cNvPr id="70" name="CuadroTexto 24">
              <a:extLst>
                <a:ext uri="{FF2B5EF4-FFF2-40B4-BE49-F238E27FC236}">
                  <a16:creationId xmlns:a16="http://schemas.microsoft.com/office/drawing/2014/main" id="{8EA7F93F-522E-44EB-B997-9454760290E1}"/>
                </a:ext>
              </a:extLst>
            </xdr:cNvPr>
            <xdr:cNvSpPr txBox="1"/>
          </xdr:nvSpPr>
          <xdr:spPr>
            <a:xfrm>
              <a:off x="1476375" y="2390775"/>
              <a:ext cx="1249477" cy="461446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algn="ctr">
                <a:spcAft>
                  <a:spcPts val="0"/>
                </a:spcAft>
              </a:pPr>
              <a:r>
                <a:rPr lang="es-ES_tradnl" sz="900">
                  <a:solidFill>
                    <a:srgbClr val="000000"/>
                  </a:solidFill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rPr>
                <a:t>Gas</a:t>
              </a:r>
              <a:r>
                <a:rPr lang="es-ES_tradnl" sz="900" baseline="0">
                  <a:solidFill>
                    <a:srgbClr val="000000"/>
                  </a:solidFill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rPr>
                <a:t> propano</a:t>
              </a:r>
            </a:p>
            <a:p>
              <a:pPr algn="ctr">
                <a:spcAft>
                  <a:spcPts val="0"/>
                </a:spcAft>
              </a:pPr>
              <a:r>
                <a:rPr lang="es-ES_tradnl" sz="900" baseline="0">
                  <a:solidFill>
                    <a:srgbClr val="000000"/>
                  </a:solidFill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rPr>
                <a:t>energía electrica</a:t>
              </a:r>
            </a:p>
            <a:p>
              <a:pPr algn="ctr">
                <a:spcAft>
                  <a:spcPts val="0"/>
                </a:spcAft>
              </a:pPr>
              <a:r>
                <a:rPr lang="es-ES_tradnl" sz="900" baseline="0">
                  <a:solidFill>
                    <a:srgbClr val="000000"/>
                  </a:solidFill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rPr>
                <a:t>Gas naural</a:t>
              </a:r>
              <a:endParaRPr lang="es-MX" sz="1100">
                <a:effectLst/>
                <a:latin typeface="Trebuchet MS" panose="020B0603020202020204" pitchFamily="34" charset="0"/>
                <a:ea typeface="Times New Roman" panose="02020603050405020304" pitchFamily="18" charset="0"/>
                <a:cs typeface="Arial" panose="020B0604020202020204" pitchFamily="34" charset="0"/>
              </a:endParaRPr>
            </a:p>
          </xdr:txBody>
        </xdr:sp>
        <xdr:sp macro="" textlink="">
          <xdr:nvSpPr>
            <xdr:cNvPr id="71" name="CuadroTexto 27">
              <a:extLst>
                <a:ext uri="{FF2B5EF4-FFF2-40B4-BE49-F238E27FC236}">
                  <a16:creationId xmlns:a16="http://schemas.microsoft.com/office/drawing/2014/main" id="{C0AE7B05-53DF-41E3-8DCA-BEE80E66EAE5}"/>
                </a:ext>
              </a:extLst>
            </xdr:cNvPr>
            <xdr:cNvSpPr txBox="1"/>
          </xdr:nvSpPr>
          <xdr:spPr>
            <a:xfrm>
              <a:off x="2910672" y="2381543"/>
              <a:ext cx="1246756" cy="350751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algn="ctr">
                <a:spcAft>
                  <a:spcPts val="0"/>
                </a:spcAft>
              </a:pPr>
              <a:r>
                <a:rPr lang="es-CO" sz="900">
                  <a:solidFill>
                    <a:srgbClr val="000000"/>
                  </a:solidFill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rPr>
                <a:t>TRansporte material, </a:t>
              </a:r>
            </a:p>
            <a:p>
              <a:pPr algn="ctr">
                <a:spcAft>
                  <a:spcPts val="0"/>
                </a:spcAft>
              </a:pPr>
              <a:r>
                <a:rPr lang="es-CO" sz="900">
                  <a:solidFill>
                    <a:srgbClr val="000000"/>
                  </a:solidFill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rPr>
                <a:t>Trefilacion, Recocido de al en horno de gas.</a:t>
              </a:r>
              <a:endParaRPr lang="es-MX" sz="1100">
                <a:effectLst/>
                <a:latin typeface="Trebuchet MS" panose="020B0603020202020204" pitchFamily="34" charset="0"/>
                <a:ea typeface="Times New Roman" panose="02020603050405020304" pitchFamily="18" charset="0"/>
                <a:cs typeface="Arial" panose="020B0604020202020204" pitchFamily="34" charset="0"/>
              </a:endParaRPr>
            </a:p>
            <a:p>
              <a:pPr algn="ctr">
                <a:spcAft>
                  <a:spcPts val="0"/>
                </a:spcAft>
              </a:pPr>
              <a:r>
                <a: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rPr>
                <a:t>Cableado</a:t>
              </a:r>
            </a:p>
          </xdr:txBody>
        </xdr:sp>
        <xdr:sp macro="" textlink="">
          <xdr:nvSpPr>
            <xdr:cNvPr id="72" name="CuadroTexto 30">
              <a:extLst>
                <a:ext uri="{FF2B5EF4-FFF2-40B4-BE49-F238E27FC236}">
                  <a16:creationId xmlns:a16="http://schemas.microsoft.com/office/drawing/2014/main" id="{705C258C-3406-400D-A9A4-2D62E7C79A48}"/>
                </a:ext>
              </a:extLst>
            </xdr:cNvPr>
            <xdr:cNvSpPr txBox="1"/>
          </xdr:nvSpPr>
          <xdr:spPr>
            <a:xfrm>
              <a:off x="4371451" y="2381543"/>
              <a:ext cx="1249476" cy="350751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algn="ctr">
                <a:spcAft>
                  <a:spcPts val="0"/>
                </a:spcAft>
              </a:pPr>
              <a:r>
                <a: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rPr>
                <a:t>Almbre mas delgado</a:t>
              </a:r>
            </a:p>
          </xdr:txBody>
        </xdr:sp>
        <xdr:sp macro="" textlink="">
          <xdr:nvSpPr>
            <xdr:cNvPr id="73" name="Flecha: hacia abajo 72">
              <a:extLst>
                <a:ext uri="{FF2B5EF4-FFF2-40B4-BE49-F238E27FC236}">
                  <a16:creationId xmlns:a16="http://schemas.microsoft.com/office/drawing/2014/main" id="{6FFDCDD5-A7C5-4912-8401-7E1CB3ADA8C5}"/>
                </a:ext>
              </a:extLst>
            </xdr:cNvPr>
            <xdr:cNvSpPr/>
          </xdr:nvSpPr>
          <xdr:spPr>
            <a:xfrm rot="16200000">
              <a:off x="1271247" y="2476538"/>
              <a:ext cx="171442" cy="146146"/>
            </a:xfrm>
            <a:prstGeom prst="downArrow">
              <a:avLst/>
            </a:prstGeom>
          </xdr:spPr>
          <xdr:style>
            <a:lnRef idx="2">
              <a:schemeClr val="accent2">
                <a:shade val="50000"/>
              </a:schemeClr>
            </a:lnRef>
            <a:fillRef idx="1">
              <a:schemeClr val="accent2"/>
            </a:fillRef>
            <a:effectRef idx="0">
              <a:schemeClr val="accent2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es-MX"/>
            </a:p>
          </xdr:txBody>
        </xdr:sp>
        <xdr:sp macro="" textlink="">
          <xdr:nvSpPr>
            <xdr:cNvPr id="74" name="Flecha: hacia abajo 73">
              <a:extLst>
                <a:ext uri="{FF2B5EF4-FFF2-40B4-BE49-F238E27FC236}">
                  <a16:creationId xmlns:a16="http://schemas.microsoft.com/office/drawing/2014/main" id="{617BA2FF-687B-4837-8A35-13B151BE161C}"/>
                </a:ext>
              </a:extLst>
            </xdr:cNvPr>
            <xdr:cNvSpPr/>
          </xdr:nvSpPr>
          <xdr:spPr>
            <a:xfrm rot="16200000">
              <a:off x="2725225" y="2476538"/>
              <a:ext cx="171442" cy="146146"/>
            </a:xfrm>
            <a:prstGeom prst="downArrow">
              <a:avLst/>
            </a:prstGeom>
          </xdr:spPr>
          <xdr:style>
            <a:lnRef idx="2">
              <a:schemeClr val="accent2">
                <a:shade val="50000"/>
              </a:schemeClr>
            </a:lnRef>
            <a:fillRef idx="1">
              <a:schemeClr val="accent2"/>
            </a:fillRef>
            <a:effectRef idx="0">
              <a:schemeClr val="accent2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es-MX"/>
            </a:p>
          </xdr:txBody>
        </xdr:sp>
        <xdr:sp macro="" textlink="">
          <xdr:nvSpPr>
            <xdr:cNvPr id="75" name="Flecha: hacia abajo 74">
              <a:extLst>
                <a:ext uri="{FF2B5EF4-FFF2-40B4-BE49-F238E27FC236}">
                  <a16:creationId xmlns:a16="http://schemas.microsoft.com/office/drawing/2014/main" id="{F63C4F40-EE37-4FB7-A623-C2EC7AE0CA35}"/>
                </a:ext>
              </a:extLst>
            </xdr:cNvPr>
            <xdr:cNvSpPr/>
          </xdr:nvSpPr>
          <xdr:spPr>
            <a:xfrm rot="16200000">
              <a:off x="4186004" y="2476538"/>
              <a:ext cx="171442" cy="146146"/>
            </a:xfrm>
            <a:prstGeom prst="downArrow">
              <a:avLst/>
            </a:prstGeom>
          </xdr:spPr>
          <xdr:style>
            <a:lnRef idx="2">
              <a:schemeClr val="accent2">
                <a:shade val="50000"/>
              </a:schemeClr>
            </a:lnRef>
            <a:fillRef idx="1">
              <a:schemeClr val="accent2"/>
            </a:fillRef>
            <a:effectRef idx="0">
              <a:schemeClr val="accent2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es-MX"/>
            </a:p>
          </xdr:txBody>
        </xdr:sp>
        <xdr:sp macro="" textlink="">
          <xdr:nvSpPr>
            <xdr:cNvPr id="76" name="Flecha: hacia abajo 75">
              <a:extLst>
                <a:ext uri="{FF2B5EF4-FFF2-40B4-BE49-F238E27FC236}">
                  <a16:creationId xmlns:a16="http://schemas.microsoft.com/office/drawing/2014/main" id="{2DB902BF-9173-40FA-8138-01D77B2BBABA}"/>
                </a:ext>
              </a:extLst>
            </xdr:cNvPr>
            <xdr:cNvSpPr/>
          </xdr:nvSpPr>
          <xdr:spPr>
            <a:xfrm>
              <a:off x="514350" y="2790825"/>
              <a:ext cx="190491" cy="131532"/>
            </a:xfrm>
            <a:prstGeom prst="downArrow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es-MX"/>
            </a:p>
          </xdr:txBody>
        </xdr:sp>
      </xdr:grpSp>
      <xdr:sp macro="" textlink="">
        <xdr:nvSpPr>
          <xdr:cNvPr id="131" name="Flecha: hacia abajo 130">
            <a:extLst>
              <a:ext uri="{FF2B5EF4-FFF2-40B4-BE49-F238E27FC236}">
                <a16:creationId xmlns:a16="http://schemas.microsoft.com/office/drawing/2014/main" id="{A7A53376-F8C3-4B01-9989-5EC27EA4CC8B}"/>
              </a:ext>
            </a:extLst>
          </xdr:cNvPr>
          <xdr:cNvSpPr/>
        </xdr:nvSpPr>
        <xdr:spPr>
          <a:xfrm rot="16200000">
            <a:off x="2728634" y="13455585"/>
            <a:ext cx="171966" cy="146146"/>
          </a:xfrm>
          <a:prstGeom prst="downArrow">
            <a:avLst/>
          </a:prstGeom>
        </xdr:spPr>
        <xdr:style>
          <a:lnRef idx="2">
            <a:schemeClr val="accent2">
              <a:shade val="50000"/>
            </a:schemeClr>
          </a:lnRef>
          <a:fillRef idx="1">
            <a:schemeClr val="accent2"/>
          </a:fillRef>
          <a:effectRef idx="0">
            <a:schemeClr val="accent2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endParaRPr lang="es-MX"/>
          </a:p>
        </xdr:txBody>
      </xdr:sp>
    </xdr:grpSp>
    <xdr:clientData/>
  </xdr:twoCellAnchor>
  <xdr:twoCellAnchor>
    <xdr:from>
      <xdr:col>1</xdr:col>
      <xdr:colOff>227543</xdr:colOff>
      <xdr:row>2</xdr:row>
      <xdr:rowOff>150061</xdr:rowOff>
    </xdr:from>
    <xdr:to>
      <xdr:col>1</xdr:col>
      <xdr:colOff>462882</xdr:colOff>
      <xdr:row>3</xdr:row>
      <xdr:rowOff>177185</xdr:rowOff>
    </xdr:to>
    <xdr:sp macro="" textlink="">
      <xdr:nvSpPr>
        <xdr:cNvPr id="137" name="Flecha: hacia abajo 127">
          <a:extLst>
            <a:ext uri="{FF2B5EF4-FFF2-40B4-BE49-F238E27FC236}">
              <a16:creationId xmlns:a16="http://schemas.microsoft.com/office/drawing/2014/main" id="{0952190B-F739-4996-ACED-6C5EE949EE3B}"/>
            </a:ext>
          </a:extLst>
        </xdr:cNvPr>
        <xdr:cNvSpPr/>
      </xdr:nvSpPr>
      <xdr:spPr>
        <a:xfrm rot="16200000">
          <a:off x="1608001" y="522203"/>
          <a:ext cx="217624" cy="235339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endParaRPr lang="es-MX"/>
        </a:p>
      </xdr:txBody>
    </xdr:sp>
    <xdr:clientData/>
  </xdr:twoCellAnchor>
  <xdr:twoCellAnchor>
    <xdr:from>
      <xdr:col>0</xdr:col>
      <xdr:colOff>9525</xdr:colOff>
      <xdr:row>41</xdr:row>
      <xdr:rowOff>180975</xdr:rowOff>
    </xdr:from>
    <xdr:to>
      <xdr:col>1</xdr:col>
      <xdr:colOff>215343</xdr:colOff>
      <xdr:row>44</xdr:row>
      <xdr:rowOff>174289</xdr:rowOff>
    </xdr:to>
    <xdr:sp macro="" textlink="">
      <xdr:nvSpPr>
        <xdr:cNvPr id="147" name="CuadroTexto 20">
          <a:extLst>
            <a:ext uri="{FF2B5EF4-FFF2-40B4-BE49-F238E27FC236}">
              <a16:creationId xmlns:a16="http://schemas.microsoft.com/office/drawing/2014/main" id="{63FA6FB0-824C-4536-A2FC-3E349B5440D5}"/>
            </a:ext>
          </a:extLst>
        </xdr:cNvPr>
        <xdr:cNvSpPr txBox="1"/>
      </xdr:nvSpPr>
      <xdr:spPr>
        <a:xfrm>
          <a:off x="9525" y="7991475"/>
          <a:ext cx="1577418" cy="56481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spcAft>
              <a:spcPts val="0"/>
            </a:spcAft>
          </a:pPr>
          <a:r>
            <a:rPr lang="es-ES_tradnl" sz="900">
              <a:solidFill>
                <a:srgbClr val="000000"/>
              </a:solidFill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Control</a:t>
          </a:r>
          <a:r>
            <a:rPr lang="es-ES_tradnl" sz="900" baseline="0">
              <a:solidFill>
                <a:srgbClr val="000000"/>
              </a:solidFill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de calidad</a:t>
          </a:r>
          <a:endParaRPr lang="es-MX" sz="1100">
            <a:effectLst/>
            <a:latin typeface="Trebuchet MS" panose="020B060302020202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518398</xdr:colOff>
      <xdr:row>41</xdr:row>
      <xdr:rowOff>180975</xdr:rowOff>
    </xdr:from>
    <xdr:to>
      <xdr:col>2</xdr:col>
      <xdr:colOff>171766</xdr:colOff>
      <xdr:row>44</xdr:row>
      <xdr:rowOff>174289</xdr:rowOff>
    </xdr:to>
    <xdr:sp macro="" textlink="">
      <xdr:nvSpPr>
        <xdr:cNvPr id="148" name="CuadroTexto 26">
          <a:extLst>
            <a:ext uri="{FF2B5EF4-FFF2-40B4-BE49-F238E27FC236}">
              <a16:creationId xmlns:a16="http://schemas.microsoft.com/office/drawing/2014/main" id="{4123837A-CD18-4102-BBA2-E8681E609AE6}"/>
            </a:ext>
          </a:extLst>
        </xdr:cNvPr>
        <xdr:cNvSpPr txBox="1"/>
      </xdr:nvSpPr>
      <xdr:spPr>
        <a:xfrm>
          <a:off x="1889998" y="7991475"/>
          <a:ext cx="1577418" cy="56481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spcAft>
              <a:spcPts val="0"/>
            </a:spcAft>
          </a:pPr>
          <a:r>
            <a:rPr lang="es-MX" sz="1100"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energia lectrica, Gas propano</a:t>
          </a:r>
        </a:p>
      </xdr:txBody>
    </xdr:sp>
    <xdr:clientData/>
  </xdr:twoCellAnchor>
  <xdr:twoCellAnchor>
    <xdr:from>
      <xdr:col>2</xdr:col>
      <xdr:colOff>406372</xdr:colOff>
      <xdr:row>41</xdr:row>
      <xdr:rowOff>180975</xdr:rowOff>
    </xdr:from>
    <xdr:to>
      <xdr:col>4</xdr:col>
      <xdr:colOff>154991</xdr:colOff>
      <xdr:row>44</xdr:row>
      <xdr:rowOff>174289</xdr:rowOff>
    </xdr:to>
    <xdr:sp macro="" textlink="">
      <xdr:nvSpPr>
        <xdr:cNvPr id="149" name="CuadroTexto 29">
          <a:extLst>
            <a:ext uri="{FF2B5EF4-FFF2-40B4-BE49-F238E27FC236}">
              <a16:creationId xmlns:a16="http://schemas.microsoft.com/office/drawing/2014/main" id="{FA672413-3FE0-4A64-BD09-AB14462FA5FB}"/>
            </a:ext>
          </a:extLst>
        </xdr:cNvPr>
        <xdr:cNvSpPr txBox="1"/>
      </xdr:nvSpPr>
      <xdr:spPr>
        <a:xfrm>
          <a:off x="3702022" y="7991475"/>
          <a:ext cx="1577419" cy="56481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spcAft>
              <a:spcPts val="0"/>
            </a:spcAft>
          </a:pPr>
          <a:r>
            <a:rPr lang="es-ES_tradnl" sz="900">
              <a:solidFill>
                <a:srgbClr val="000000"/>
              </a:solidFill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Equipo de tensions, pruebas de capacitancia,ensayo de propagacion de llama,</a:t>
          </a:r>
          <a:endParaRPr lang="es-MX" sz="1100">
            <a:effectLst/>
            <a:latin typeface="Trebuchet MS" panose="020B060302020202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426667</xdr:colOff>
      <xdr:row>41</xdr:row>
      <xdr:rowOff>180975</xdr:rowOff>
    </xdr:from>
    <xdr:to>
      <xdr:col>6</xdr:col>
      <xdr:colOff>480085</xdr:colOff>
      <xdr:row>44</xdr:row>
      <xdr:rowOff>174289</xdr:rowOff>
    </xdr:to>
    <xdr:sp macro="" textlink="">
      <xdr:nvSpPr>
        <xdr:cNvPr id="150" name="CuadroTexto 32">
          <a:extLst>
            <a:ext uri="{FF2B5EF4-FFF2-40B4-BE49-F238E27FC236}">
              <a16:creationId xmlns:a16="http://schemas.microsoft.com/office/drawing/2014/main" id="{C60CFA51-7FEB-4F0A-8A17-8F07BE94D365}"/>
            </a:ext>
          </a:extLst>
        </xdr:cNvPr>
        <xdr:cNvSpPr txBox="1"/>
      </xdr:nvSpPr>
      <xdr:spPr>
        <a:xfrm>
          <a:off x="5551117" y="7991475"/>
          <a:ext cx="1577418" cy="56481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spcAft>
              <a:spcPts val="0"/>
            </a:spcAft>
          </a:pPr>
          <a:r>
            <a:rPr lang="es-MX" sz="1100"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Cables revisados</a:t>
          </a:r>
        </a:p>
      </xdr:txBody>
    </xdr:sp>
    <xdr:clientData/>
  </xdr:twoCellAnchor>
  <xdr:twoCellAnchor>
    <xdr:from>
      <xdr:col>1</xdr:col>
      <xdr:colOff>237068</xdr:colOff>
      <xdr:row>42</xdr:row>
      <xdr:rowOff>140535</xdr:rowOff>
    </xdr:from>
    <xdr:to>
      <xdr:col>1</xdr:col>
      <xdr:colOff>472408</xdr:colOff>
      <xdr:row>43</xdr:row>
      <xdr:rowOff>167659</xdr:rowOff>
    </xdr:to>
    <xdr:sp macro="" textlink="">
      <xdr:nvSpPr>
        <xdr:cNvPr id="151" name="Flecha: hacia abajo 127">
          <a:extLst>
            <a:ext uri="{FF2B5EF4-FFF2-40B4-BE49-F238E27FC236}">
              <a16:creationId xmlns:a16="http://schemas.microsoft.com/office/drawing/2014/main" id="{A7CCED34-C01D-496D-BD5C-03A54B0B5018}"/>
            </a:ext>
          </a:extLst>
        </xdr:cNvPr>
        <xdr:cNvSpPr/>
      </xdr:nvSpPr>
      <xdr:spPr>
        <a:xfrm rot="16200000">
          <a:off x="1617526" y="8132677"/>
          <a:ext cx="217624" cy="235340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endParaRPr lang="es-MX"/>
        </a:p>
      </xdr:txBody>
    </xdr:sp>
    <xdr:clientData/>
  </xdr:twoCellAnchor>
  <xdr:twoCellAnchor>
    <xdr:from>
      <xdr:col>2</xdr:col>
      <xdr:colOff>150021</xdr:colOff>
      <xdr:row>42</xdr:row>
      <xdr:rowOff>140535</xdr:rowOff>
    </xdr:from>
    <xdr:to>
      <xdr:col>2</xdr:col>
      <xdr:colOff>385361</xdr:colOff>
      <xdr:row>43</xdr:row>
      <xdr:rowOff>167659</xdr:rowOff>
    </xdr:to>
    <xdr:sp macro="" textlink="">
      <xdr:nvSpPr>
        <xdr:cNvPr id="152" name="Flecha: hacia abajo 128">
          <a:extLst>
            <a:ext uri="{FF2B5EF4-FFF2-40B4-BE49-F238E27FC236}">
              <a16:creationId xmlns:a16="http://schemas.microsoft.com/office/drawing/2014/main" id="{9EAD8A11-0566-4C76-88FD-FAF77BDC9559}"/>
            </a:ext>
          </a:extLst>
        </xdr:cNvPr>
        <xdr:cNvSpPr/>
      </xdr:nvSpPr>
      <xdr:spPr>
        <a:xfrm rot="16200000">
          <a:off x="3454529" y="8132677"/>
          <a:ext cx="217624" cy="235340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endParaRPr lang="es-MX"/>
        </a:p>
      </xdr:txBody>
    </xdr:sp>
    <xdr:clientData/>
  </xdr:twoCellAnchor>
  <xdr:twoCellAnchor>
    <xdr:from>
      <xdr:col>4</xdr:col>
      <xdr:colOff>170315</xdr:colOff>
      <xdr:row>42</xdr:row>
      <xdr:rowOff>140535</xdr:rowOff>
    </xdr:from>
    <xdr:to>
      <xdr:col>4</xdr:col>
      <xdr:colOff>405655</xdr:colOff>
      <xdr:row>43</xdr:row>
      <xdr:rowOff>167659</xdr:rowOff>
    </xdr:to>
    <xdr:sp macro="" textlink="">
      <xdr:nvSpPr>
        <xdr:cNvPr id="153" name="Flecha: hacia abajo 129">
          <a:extLst>
            <a:ext uri="{FF2B5EF4-FFF2-40B4-BE49-F238E27FC236}">
              <a16:creationId xmlns:a16="http://schemas.microsoft.com/office/drawing/2014/main" id="{4291486F-600B-4875-B80A-54A62811EF07}"/>
            </a:ext>
          </a:extLst>
        </xdr:cNvPr>
        <xdr:cNvSpPr/>
      </xdr:nvSpPr>
      <xdr:spPr>
        <a:xfrm rot="16200000">
          <a:off x="5303623" y="8132677"/>
          <a:ext cx="217624" cy="235340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endParaRPr lang="es-MX"/>
        </a:p>
      </xdr:txBody>
    </xdr:sp>
    <xdr:clientData/>
  </xdr:twoCellAnchor>
  <xdr:twoCellAnchor>
    <xdr:from>
      <xdr:col>0</xdr:col>
      <xdr:colOff>0</xdr:colOff>
      <xdr:row>46</xdr:row>
      <xdr:rowOff>47960</xdr:rowOff>
    </xdr:from>
    <xdr:to>
      <xdr:col>1</xdr:col>
      <xdr:colOff>205818</xdr:colOff>
      <xdr:row>49</xdr:row>
      <xdr:rowOff>97755</xdr:rowOff>
    </xdr:to>
    <xdr:sp macro="" textlink="">
      <xdr:nvSpPr>
        <xdr:cNvPr id="154" name="CuadroTexto 20">
          <a:extLst>
            <a:ext uri="{FF2B5EF4-FFF2-40B4-BE49-F238E27FC236}">
              <a16:creationId xmlns:a16="http://schemas.microsoft.com/office/drawing/2014/main" id="{9284227A-C8B2-40F3-B505-F248027C772E}"/>
            </a:ext>
          </a:extLst>
        </xdr:cNvPr>
        <xdr:cNvSpPr txBox="1"/>
      </xdr:nvSpPr>
      <xdr:spPr>
        <a:xfrm>
          <a:off x="0" y="8810960"/>
          <a:ext cx="1577418" cy="62129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spcAft>
              <a:spcPts val="0"/>
            </a:spcAft>
          </a:pPr>
          <a:r>
            <a:rPr lang="es-ES_tradnl" sz="900">
              <a:solidFill>
                <a:srgbClr val="000000"/>
              </a:solidFill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Mantenimiento</a:t>
          </a:r>
          <a:endParaRPr lang="es-MX" sz="1100">
            <a:effectLst/>
            <a:latin typeface="Trebuchet MS" panose="020B060302020202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508873</xdr:colOff>
      <xdr:row>46</xdr:row>
      <xdr:rowOff>47960</xdr:rowOff>
    </xdr:from>
    <xdr:to>
      <xdr:col>2</xdr:col>
      <xdr:colOff>162241</xdr:colOff>
      <xdr:row>49</xdr:row>
      <xdr:rowOff>97755</xdr:rowOff>
    </xdr:to>
    <xdr:sp macro="" textlink="">
      <xdr:nvSpPr>
        <xdr:cNvPr id="155" name="CuadroTexto 26">
          <a:extLst>
            <a:ext uri="{FF2B5EF4-FFF2-40B4-BE49-F238E27FC236}">
              <a16:creationId xmlns:a16="http://schemas.microsoft.com/office/drawing/2014/main" id="{1A2F085B-5F33-4F38-BF33-951F6BA947AC}"/>
            </a:ext>
          </a:extLst>
        </xdr:cNvPr>
        <xdr:cNvSpPr txBox="1"/>
      </xdr:nvSpPr>
      <xdr:spPr>
        <a:xfrm>
          <a:off x="1880473" y="8810960"/>
          <a:ext cx="1577418" cy="62129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spcAft>
              <a:spcPts val="0"/>
            </a:spcAft>
          </a:pPr>
          <a:r>
            <a:rPr lang="es-MX" sz="1100" baseline="0"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Energia electrica, </a:t>
          </a:r>
          <a:endParaRPr lang="es-MX" sz="1100">
            <a:effectLst/>
            <a:latin typeface="Trebuchet MS" panose="020B060302020202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396847</xdr:colOff>
      <xdr:row>46</xdr:row>
      <xdr:rowOff>47960</xdr:rowOff>
    </xdr:from>
    <xdr:to>
      <xdr:col>4</xdr:col>
      <xdr:colOff>145466</xdr:colOff>
      <xdr:row>49</xdr:row>
      <xdr:rowOff>97755</xdr:rowOff>
    </xdr:to>
    <xdr:sp macro="" textlink="">
      <xdr:nvSpPr>
        <xdr:cNvPr id="156" name="CuadroTexto 29">
          <a:extLst>
            <a:ext uri="{FF2B5EF4-FFF2-40B4-BE49-F238E27FC236}">
              <a16:creationId xmlns:a16="http://schemas.microsoft.com/office/drawing/2014/main" id="{7F0767EE-4A6D-4096-B832-9E1D234AFF85}"/>
            </a:ext>
          </a:extLst>
        </xdr:cNvPr>
        <xdr:cNvSpPr txBox="1"/>
      </xdr:nvSpPr>
      <xdr:spPr>
        <a:xfrm>
          <a:off x="3692497" y="8810960"/>
          <a:ext cx="1577419" cy="62129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spcAft>
              <a:spcPts val="0"/>
            </a:spcAft>
          </a:pPr>
          <a:r>
            <a:rPr lang="es-ES_tradnl" sz="900">
              <a:solidFill>
                <a:srgbClr val="000000"/>
              </a:solidFill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Mantenimiento</a:t>
          </a:r>
          <a:r>
            <a:rPr lang="es-ES_tradnl" sz="900" baseline="0">
              <a:solidFill>
                <a:srgbClr val="000000"/>
              </a:solidFill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automotriz, uso de hidrolavadora, mecanizado, soldadura,</a:t>
          </a:r>
          <a:endParaRPr lang="es-MX" sz="1100">
            <a:effectLst/>
            <a:latin typeface="Trebuchet MS" panose="020B060302020202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417142</xdr:colOff>
      <xdr:row>46</xdr:row>
      <xdr:rowOff>47960</xdr:rowOff>
    </xdr:from>
    <xdr:to>
      <xdr:col>6</xdr:col>
      <xdr:colOff>470560</xdr:colOff>
      <xdr:row>49</xdr:row>
      <xdr:rowOff>97755</xdr:rowOff>
    </xdr:to>
    <xdr:sp macro="" textlink="">
      <xdr:nvSpPr>
        <xdr:cNvPr id="157" name="CuadroTexto 32">
          <a:extLst>
            <a:ext uri="{FF2B5EF4-FFF2-40B4-BE49-F238E27FC236}">
              <a16:creationId xmlns:a16="http://schemas.microsoft.com/office/drawing/2014/main" id="{E760B20A-78B2-4712-8476-0AB7A1ED728B}"/>
            </a:ext>
          </a:extLst>
        </xdr:cNvPr>
        <xdr:cNvSpPr txBox="1"/>
      </xdr:nvSpPr>
      <xdr:spPr>
        <a:xfrm>
          <a:off x="5541592" y="8810960"/>
          <a:ext cx="1577418" cy="62129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spcAft>
              <a:spcPts val="0"/>
            </a:spcAft>
          </a:pPr>
          <a:r>
            <a:rPr lang="es-MX" sz="1100"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Maquinas</a:t>
          </a:r>
          <a:r>
            <a:rPr lang="es-MX" sz="1100" baseline="0"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en buen estado</a:t>
          </a:r>
          <a:endParaRPr lang="es-MX" sz="1100">
            <a:effectLst/>
            <a:latin typeface="Trebuchet MS" panose="020B060302020202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215776</xdr:colOff>
      <xdr:row>47</xdr:row>
      <xdr:rowOff>35761</xdr:rowOff>
    </xdr:from>
    <xdr:to>
      <xdr:col>1</xdr:col>
      <xdr:colOff>474649</xdr:colOff>
      <xdr:row>48</xdr:row>
      <xdr:rowOff>62885</xdr:rowOff>
    </xdr:to>
    <xdr:sp macro="" textlink="">
      <xdr:nvSpPr>
        <xdr:cNvPr id="158" name="Flecha: hacia abajo 127">
          <a:extLst>
            <a:ext uri="{FF2B5EF4-FFF2-40B4-BE49-F238E27FC236}">
              <a16:creationId xmlns:a16="http://schemas.microsoft.com/office/drawing/2014/main" id="{BB773E40-EBCF-41AA-B320-63E0397521E9}"/>
            </a:ext>
          </a:extLst>
        </xdr:cNvPr>
        <xdr:cNvSpPr/>
      </xdr:nvSpPr>
      <xdr:spPr>
        <a:xfrm rot="16200000">
          <a:off x="1608001" y="8968636"/>
          <a:ext cx="217624" cy="258873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endParaRPr lang="es-MX"/>
        </a:p>
      </xdr:txBody>
    </xdr:sp>
    <xdr:clientData/>
  </xdr:twoCellAnchor>
  <xdr:twoCellAnchor>
    <xdr:from>
      <xdr:col>2</xdr:col>
      <xdr:colOff>128729</xdr:colOff>
      <xdr:row>47</xdr:row>
      <xdr:rowOff>35761</xdr:rowOff>
    </xdr:from>
    <xdr:to>
      <xdr:col>2</xdr:col>
      <xdr:colOff>387602</xdr:colOff>
      <xdr:row>48</xdr:row>
      <xdr:rowOff>62885</xdr:rowOff>
    </xdr:to>
    <xdr:sp macro="" textlink="">
      <xdr:nvSpPr>
        <xdr:cNvPr id="159" name="Flecha: hacia abajo 128">
          <a:extLst>
            <a:ext uri="{FF2B5EF4-FFF2-40B4-BE49-F238E27FC236}">
              <a16:creationId xmlns:a16="http://schemas.microsoft.com/office/drawing/2014/main" id="{2BCE9385-7FBD-46CA-AAD9-0F1EA5923619}"/>
            </a:ext>
          </a:extLst>
        </xdr:cNvPr>
        <xdr:cNvSpPr/>
      </xdr:nvSpPr>
      <xdr:spPr>
        <a:xfrm rot="16200000">
          <a:off x="3445004" y="8968636"/>
          <a:ext cx="217624" cy="258873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endParaRPr lang="es-MX"/>
        </a:p>
      </xdr:txBody>
    </xdr:sp>
    <xdr:clientData/>
  </xdr:twoCellAnchor>
  <xdr:twoCellAnchor>
    <xdr:from>
      <xdr:col>4</xdr:col>
      <xdr:colOff>149023</xdr:colOff>
      <xdr:row>47</xdr:row>
      <xdr:rowOff>35761</xdr:rowOff>
    </xdr:from>
    <xdr:to>
      <xdr:col>4</xdr:col>
      <xdr:colOff>407896</xdr:colOff>
      <xdr:row>48</xdr:row>
      <xdr:rowOff>62885</xdr:rowOff>
    </xdr:to>
    <xdr:sp macro="" textlink="">
      <xdr:nvSpPr>
        <xdr:cNvPr id="160" name="Flecha: hacia abajo 129">
          <a:extLst>
            <a:ext uri="{FF2B5EF4-FFF2-40B4-BE49-F238E27FC236}">
              <a16:creationId xmlns:a16="http://schemas.microsoft.com/office/drawing/2014/main" id="{E7C65F46-928D-4EB8-96DA-05E802E3DAAB}"/>
            </a:ext>
          </a:extLst>
        </xdr:cNvPr>
        <xdr:cNvSpPr/>
      </xdr:nvSpPr>
      <xdr:spPr>
        <a:xfrm rot="16200000">
          <a:off x="5294098" y="8968636"/>
          <a:ext cx="217624" cy="258873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endParaRPr lang="es-MX"/>
        </a:p>
      </xdr:txBody>
    </xdr:sp>
    <xdr:clientData/>
  </xdr:twoCellAnchor>
  <xdr:twoCellAnchor>
    <xdr:from>
      <xdr:col>0</xdr:col>
      <xdr:colOff>0</xdr:colOff>
      <xdr:row>51</xdr:row>
      <xdr:rowOff>76535</xdr:rowOff>
    </xdr:from>
    <xdr:to>
      <xdr:col>1</xdr:col>
      <xdr:colOff>205818</xdr:colOff>
      <xdr:row>54</xdr:row>
      <xdr:rowOff>126330</xdr:rowOff>
    </xdr:to>
    <xdr:sp macro="" textlink="">
      <xdr:nvSpPr>
        <xdr:cNvPr id="161" name="CuadroTexto 20">
          <a:extLst>
            <a:ext uri="{FF2B5EF4-FFF2-40B4-BE49-F238E27FC236}">
              <a16:creationId xmlns:a16="http://schemas.microsoft.com/office/drawing/2014/main" id="{C816A6F9-DDEE-4165-88B2-D941E1E54B9D}"/>
            </a:ext>
          </a:extLst>
        </xdr:cNvPr>
        <xdr:cNvSpPr txBox="1"/>
      </xdr:nvSpPr>
      <xdr:spPr>
        <a:xfrm>
          <a:off x="0" y="9792035"/>
          <a:ext cx="1577418" cy="62129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spcAft>
              <a:spcPts val="0"/>
            </a:spcAft>
          </a:pPr>
          <a:r>
            <a:rPr lang="es-ES_tradnl" sz="900">
              <a:solidFill>
                <a:srgbClr val="000000"/>
              </a:solidFill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Empaque</a:t>
          </a:r>
          <a:endParaRPr lang="es-MX" sz="1100">
            <a:effectLst/>
            <a:latin typeface="Trebuchet MS" panose="020B060302020202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508873</xdr:colOff>
      <xdr:row>51</xdr:row>
      <xdr:rowOff>76535</xdr:rowOff>
    </xdr:from>
    <xdr:to>
      <xdr:col>2</xdr:col>
      <xdr:colOff>162241</xdr:colOff>
      <xdr:row>54</xdr:row>
      <xdr:rowOff>126330</xdr:rowOff>
    </xdr:to>
    <xdr:sp macro="" textlink="">
      <xdr:nvSpPr>
        <xdr:cNvPr id="162" name="CuadroTexto 26">
          <a:extLst>
            <a:ext uri="{FF2B5EF4-FFF2-40B4-BE49-F238E27FC236}">
              <a16:creationId xmlns:a16="http://schemas.microsoft.com/office/drawing/2014/main" id="{3A75F86B-9662-4351-9FE2-E0D21066A86D}"/>
            </a:ext>
          </a:extLst>
        </xdr:cNvPr>
        <xdr:cNvSpPr txBox="1"/>
      </xdr:nvSpPr>
      <xdr:spPr>
        <a:xfrm>
          <a:off x="1880473" y="9792035"/>
          <a:ext cx="1577418" cy="62129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spcAft>
              <a:spcPts val="0"/>
            </a:spcAft>
          </a:pPr>
          <a:r>
            <a:rPr lang="es-MX" sz="1100"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Gas propano,</a:t>
          </a:r>
          <a:r>
            <a:rPr lang="es-MX" sz="1100" baseline="0"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Energia electrica, ACPM</a:t>
          </a:r>
          <a:endParaRPr lang="es-MX" sz="1100">
            <a:effectLst/>
            <a:latin typeface="Trebuchet MS" panose="020B060302020202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396847</xdr:colOff>
      <xdr:row>51</xdr:row>
      <xdr:rowOff>76535</xdr:rowOff>
    </xdr:from>
    <xdr:to>
      <xdr:col>4</xdr:col>
      <xdr:colOff>145466</xdr:colOff>
      <xdr:row>57</xdr:row>
      <xdr:rowOff>0</xdr:rowOff>
    </xdr:to>
    <xdr:sp macro="" textlink="">
      <xdr:nvSpPr>
        <xdr:cNvPr id="163" name="CuadroTexto 29">
          <a:extLst>
            <a:ext uri="{FF2B5EF4-FFF2-40B4-BE49-F238E27FC236}">
              <a16:creationId xmlns:a16="http://schemas.microsoft.com/office/drawing/2014/main" id="{1C397281-D049-4C42-9C93-413F9208C7FD}"/>
            </a:ext>
          </a:extLst>
        </xdr:cNvPr>
        <xdr:cNvSpPr txBox="1"/>
      </xdr:nvSpPr>
      <xdr:spPr>
        <a:xfrm>
          <a:off x="3692497" y="9792035"/>
          <a:ext cx="1577419" cy="106646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spcAft>
              <a:spcPts val="0"/>
            </a:spcAft>
          </a:pPr>
          <a:r>
            <a:rPr lang="es-ES_tradnl" sz="900">
              <a:solidFill>
                <a:srgbClr val="000000"/>
              </a:solidFill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transporte del montacargas, embobinar, fraccionadores, termoencogible, Planta</a:t>
          </a:r>
          <a:r>
            <a:rPr lang="es-ES_tradnl" sz="900" baseline="0">
              <a:solidFill>
                <a:srgbClr val="000000"/>
              </a:solidFill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de emergencia electrica, mantenimiento y uso de compreso,</a:t>
          </a:r>
          <a:endParaRPr lang="es-MX" sz="1100">
            <a:effectLst/>
            <a:latin typeface="Trebuchet MS" panose="020B060302020202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417142</xdr:colOff>
      <xdr:row>51</xdr:row>
      <xdr:rowOff>76535</xdr:rowOff>
    </xdr:from>
    <xdr:to>
      <xdr:col>6</xdr:col>
      <xdr:colOff>470560</xdr:colOff>
      <xdr:row>54</xdr:row>
      <xdr:rowOff>126330</xdr:rowOff>
    </xdr:to>
    <xdr:sp macro="" textlink="">
      <xdr:nvSpPr>
        <xdr:cNvPr id="164" name="CuadroTexto 32">
          <a:extLst>
            <a:ext uri="{FF2B5EF4-FFF2-40B4-BE49-F238E27FC236}">
              <a16:creationId xmlns:a16="http://schemas.microsoft.com/office/drawing/2014/main" id="{CA7AEC22-6BFD-48D3-B2D0-F1A63537E91D}"/>
            </a:ext>
          </a:extLst>
        </xdr:cNvPr>
        <xdr:cNvSpPr txBox="1"/>
      </xdr:nvSpPr>
      <xdr:spPr>
        <a:xfrm>
          <a:off x="5541592" y="9792035"/>
          <a:ext cx="1577418" cy="62129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spcAft>
              <a:spcPts val="0"/>
            </a:spcAft>
          </a:pPr>
          <a:r>
            <a:rPr lang="es-MX" sz="1100"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Cable alistado</a:t>
          </a:r>
        </a:p>
      </xdr:txBody>
    </xdr:sp>
    <xdr:clientData/>
  </xdr:twoCellAnchor>
  <xdr:twoCellAnchor>
    <xdr:from>
      <xdr:col>1</xdr:col>
      <xdr:colOff>215776</xdr:colOff>
      <xdr:row>52</xdr:row>
      <xdr:rowOff>64336</xdr:rowOff>
    </xdr:from>
    <xdr:to>
      <xdr:col>1</xdr:col>
      <xdr:colOff>474649</xdr:colOff>
      <xdr:row>53</xdr:row>
      <xdr:rowOff>91460</xdr:rowOff>
    </xdr:to>
    <xdr:sp macro="" textlink="">
      <xdr:nvSpPr>
        <xdr:cNvPr id="165" name="Flecha: hacia abajo 127">
          <a:extLst>
            <a:ext uri="{FF2B5EF4-FFF2-40B4-BE49-F238E27FC236}">
              <a16:creationId xmlns:a16="http://schemas.microsoft.com/office/drawing/2014/main" id="{20077363-B548-4270-AB93-D85EB97CB32A}"/>
            </a:ext>
          </a:extLst>
        </xdr:cNvPr>
        <xdr:cNvSpPr/>
      </xdr:nvSpPr>
      <xdr:spPr>
        <a:xfrm rot="16200000">
          <a:off x="1608001" y="9949711"/>
          <a:ext cx="217624" cy="258873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endParaRPr lang="es-MX"/>
        </a:p>
      </xdr:txBody>
    </xdr:sp>
    <xdr:clientData/>
  </xdr:twoCellAnchor>
  <xdr:twoCellAnchor>
    <xdr:from>
      <xdr:col>2</xdr:col>
      <xdr:colOff>128729</xdr:colOff>
      <xdr:row>52</xdr:row>
      <xdr:rowOff>64336</xdr:rowOff>
    </xdr:from>
    <xdr:to>
      <xdr:col>2</xdr:col>
      <xdr:colOff>387602</xdr:colOff>
      <xdr:row>53</xdr:row>
      <xdr:rowOff>91460</xdr:rowOff>
    </xdr:to>
    <xdr:sp macro="" textlink="">
      <xdr:nvSpPr>
        <xdr:cNvPr id="166" name="Flecha: hacia abajo 128">
          <a:extLst>
            <a:ext uri="{FF2B5EF4-FFF2-40B4-BE49-F238E27FC236}">
              <a16:creationId xmlns:a16="http://schemas.microsoft.com/office/drawing/2014/main" id="{D95D6B72-C80D-4C5F-98C3-5C1F21951980}"/>
            </a:ext>
          </a:extLst>
        </xdr:cNvPr>
        <xdr:cNvSpPr/>
      </xdr:nvSpPr>
      <xdr:spPr>
        <a:xfrm rot="16200000">
          <a:off x="3445004" y="9949711"/>
          <a:ext cx="217624" cy="258873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endParaRPr lang="es-MX"/>
        </a:p>
      </xdr:txBody>
    </xdr:sp>
    <xdr:clientData/>
  </xdr:twoCellAnchor>
  <xdr:twoCellAnchor>
    <xdr:from>
      <xdr:col>4</xdr:col>
      <xdr:colOff>149023</xdr:colOff>
      <xdr:row>52</xdr:row>
      <xdr:rowOff>64336</xdr:rowOff>
    </xdr:from>
    <xdr:to>
      <xdr:col>4</xdr:col>
      <xdr:colOff>407896</xdr:colOff>
      <xdr:row>53</xdr:row>
      <xdr:rowOff>91460</xdr:rowOff>
    </xdr:to>
    <xdr:sp macro="" textlink="">
      <xdr:nvSpPr>
        <xdr:cNvPr id="167" name="Flecha: hacia abajo 129">
          <a:extLst>
            <a:ext uri="{FF2B5EF4-FFF2-40B4-BE49-F238E27FC236}">
              <a16:creationId xmlns:a16="http://schemas.microsoft.com/office/drawing/2014/main" id="{CE5502F7-C6BC-45EF-ABD5-EC5DA0F6239C}"/>
            </a:ext>
          </a:extLst>
        </xdr:cNvPr>
        <xdr:cNvSpPr/>
      </xdr:nvSpPr>
      <xdr:spPr>
        <a:xfrm rot="16200000">
          <a:off x="5294098" y="9949711"/>
          <a:ext cx="217624" cy="258873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endParaRPr lang="es-MX"/>
        </a:p>
      </xdr:txBody>
    </xdr:sp>
    <xdr:clientData/>
  </xdr:twoCellAnchor>
  <xdr:twoCellAnchor>
    <xdr:from>
      <xdr:col>0</xdr:col>
      <xdr:colOff>19050</xdr:colOff>
      <xdr:row>57</xdr:row>
      <xdr:rowOff>95586</xdr:rowOff>
    </xdr:from>
    <xdr:to>
      <xdr:col>1</xdr:col>
      <xdr:colOff>224868</xdr:colOff>
      <xdr:row>60</xdr:row>
      <xdr:rowOff>145381</xdr:rowOff>
    </xdr:to>
    <xdr:sp macro="" textlink="">
      <xdr:nvSpPr>
        <xdr:cNvPr id="168" name="CuadroTexto 19">
          <a:extLst>
            <a:ext uri="{FF2B5EF4-FFF2-40B4-BE49-F238E27FC236}">
              <a16:creationId xmlns:a16="http://schemas.microsoft.com/office/drawing/2014/main" id="{F06ED540-2CB2-44DB-A800-199D0D0CEC7C}"/>
            </a:ext>
          </a:extLst>
        </xdr:cNvPr>
        <xdr:cNvSpPr txBox="1"/>
      </xdr:nvSpPr>
      <xdr:spPr>
        <a:xfrm>
          <a:off x="19050" y="10954086"/>
          <a:ext cx="1577418" cy="62129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spcAft>
              <a:spcPts val="0"/>
            </a:spcAft>
          </a:pPr>
          <a:r>
            <a:rPr lang="es-ES_tradnl" sz="900">
              <a:solidFill>
                <a:srgbClr val="000000"/>
              </a:solidFill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Supply</a:t>
          </a:r>
          <a:r>
            <a:rPr lang="es-ES_tradnl" sz="900" baseline="0">
              <a:solidFill>
                <a:srgbClr val="000000"/>
              </a:solidFill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chain logistica</a:t>
          </a:r>
        </a:p>
      </xdr:txBody>
    </xdr:sp>
    <xdr:clientData/>
  </xdr:twoCellAnchor>
  <xdr:twoCellAnchor>
    <xdr:from>
      <xdr:col>1</xdr:col>
      <xdr:colOff>527923</xdr:colOff>
      <xdr:row>57</xdr:row>
      <xdr:rowOff>86914</xdr:rowOff>
    </xdr:from>
    <xdr:to>
      <xdr:col>2</xdr:col>
      <xdr:colOff>181291</xdr:colOff>
      <xdr:row>61</xdr:row>
      <xdr:rowOff>136982</xdr:rowOff>
    </xdr:to>
    <xdr:sp macro="" textlink="">
      <xdr:nvSpPr>
        <xdr:cNvPr id="169" name="CuadroTexto 25">
          <a:extLst>
            <a:ext uri="{FF2B5EF4-FFF2-40B4-BE49-F238E27FC236}">
              <a16:creationId xmlns:a16="http://schemas.microsoft.com/office/drawing/2014/main" id="{16C2376C-0FC0-4A99-AF40-200DF3B2BE94}"/>
            </a:ext>
          </a:extLst>
        </xdr:cNvPr>
        <xdr:cNvSpPr txBox="1"/>
      </xdr:nvSpPr>
      <xdr:spPr>
        <a:xfrm>
          <a:off x="1899523" y="10945414"/>
          <a:ext cx="1577418" cy="81206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spcAft>
              <a:spcPts val="0"/>
            </a:spcAft>
          </a:pPr>
          <a:r>
            <a:rPr lang="es-ES_tradnl" sz="900">
              <a:solidFill>
                <a:srgbClr val="000000"/>
              </a:solidFill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Gas</a:t>
          </a:r>
          <a:r>
            <a:rPr lang="es-ES_tradnl" sz="900" baseline="0">
              <a:solidFill>
                <a:srgbClr val="000000"/>
              </a:solidFill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propano, Energia electrica</a:t>
          </a:r>
          <a:endParaRPr lang="es-MX" sz="1100">
            <a:effectLst/>
            <a:latin typeface="Trebuchet MS" panose="020B060302020202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415897</xdr:colOff>
      <xdr:row>57</xdr:row>
      <xdr:rowOff>95585</xdr:rowOff>
    </xdr:from>
    <xdr:to>
      <xdr:col>4</xdr:col>
      <xdr:colOff>164516</xdr:colOff>
      <xdr:row>60</xdr:row>
      <xdr:rowOff>145380</xdr:rowOff>
    </xdr:to>
    <xdr:sp macro="" textlink="">
      <xdr:nvSpPr>
        <xdr:cNvPr id="170" name="CuadroTexto 28">
          <a:extLst>
            <a:ext uri="{FF2B5EF4-FFF2-40B4-BE49-F238E27FC236}">
              <a16:creationId xmlns:a16="http://schemas.microsoft.com/office/drawing/2014/main" id="{15411978-6538-48E5-94C0-FD2A628A53E2}"/>
            </a:ext>
          </a:extLst>
        </xdr:cNvPr>
        <xdr:cNvSpPr txBox="1"/>
      </xdr:nvSpPr>
      <xdr:spPr>
        <a:xfrm>
          <a:off x="3711547" y="10954085"/>
          <a:ext cx="1577419" cy="62129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spcAft>
              <a:spcPts val="0"/>
            </a:spcAft>
          </a:pPr>
          <a:r>
            <a:rPr lang="es-ES_tradnl" sz="900">
              <a:solidFill>
                <a:srgbClr val="000000"/>
              </a:solidFill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Entrega</a:t>
          </a:r>
          <a:r>
            <a:rPr lang="es-ES_tradnl" sz="900" baseline="0">
              <a:solidFill>
                <a:srgbClr val="000000"/>
              </a:solidFill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de material, equipo de oficina</a:t>
          </a:r>
          <a:endParaRPr lang="es-MX" sz="1100">
            <a:effectLst/>
            <a:latin typeface="Trebuchet MS" panose="020B060302020202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436192</xdr:colOff>
      <xdr:row>57</xdr:row>
      <xdr:rowOff>95585</xdr:rowOff>
    </xdr:from>
    <xdr:to>
      <xdr:col>6</xdr:col>
      <xdr:colOff>489610</xdr:colOff>
      <xdr:row>60</xdr:row>
      <xdr:rowOff>145380</xdr:rowOff>
    </xdr:to>
    <xdr:sp macro="" textlink="">
      <xdr:nvSpPr>
        <xdr:cNvPr id="171" name="CuadroTexto 31">
          <a:extLst>
            <a:ext uri="{FF2B5EF4-FFF2-40B4-BE49-F238E27FC236}">
              <a16:creationId xmlns:a16="http://schemas.microsoft.com/office/drawing/2014/main" id="{792E6306-9E6B-46C1-B229-2F14C334A3DA}"/>
            </a:ext>
          </a:extLst>
        </xdr:cNvPr>
        <xdr:cNvSpPr txBox="1"/>
      </xdr:nvSpPr>
      <xdr:spPr>
        <a:xfrm>
          <a:off x="5560642" y="10954085"/>
          <a:ext cx="1577418" cy="62129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spcAft>
              <a:spcPts val="0"/>
            </a:spcAft>
          </a:pPr>
          <a:r>
            <a:rPr lang="es-MX" sz="1100"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Salida del cable</a:t>
          </a:r>
        </a:p>
      </xdr:txBody>
    </xdr:sp>
    <xdr:clientData/>
  </xdr:twoCellAnchor>
  <xdr:twoCellAnchor>
    <xdr:from>
      <xdr:col>4</xdr:col>
      <xdr:colOff>191932</xdr:colOff>
      <xdr:row>57</xdr:row>
      <xdr:rowOff>85630</xdr:rowOff>
    </xdr:from>
    <xdr:to>
      <xdr:col>4</xdr:col>
      <xdr:colOff>427271</xdr:colOff>
      <xdr:row>58</xdr:row>
      <xdr:rowOff>112754</xdr:rowOff>
    </xdr:to>
    <xdr:sp macro="" textlink="">
      <xdr:nvSpPr>
        <xdr:cNvPr id="172" name="Flecha: hacia abajo 126">
          <a:extLst>
            <a:ext uri="{FF2B5EF4-FFF2-40B4-BE49-F238E27FC236}">
              <a16:creationId xmlns:a16="http://schemas.microsoft.com/office/drawing/2014/main" id="{631C5313-61C2-4E2C-A2F4-73921F850E24}"/>
            </a:ext>
          </a:extLst>
        </xdr:cNvPr>
        <xdr:cNvSpPr/>
      </xdr:nvSpPr>
      <xdr:spPr>
        <a:xfrm rot="16200000">
          <a:off x="5325240" y="10935272"/>
          <a:ext cx="217624" cy="235339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endParaRPr lang="es-MX"/>
        </a:p>
      </xdr:txBody>
    </xdr:sp>
    <xdr:clientData/>
  </xdr:twoCellAnchor>
  <xdr:twoCellAnchor>
    <xdr:from>
      <xdr:col>0</xdr:col>
      <xdr:colOff>666750</xdr:colOff>
      <xdr:row>40</xdr:row>
      <xdr:rowOff>133350</xdr:rowOff>
    </xdr:from>
    <xdr:to>
      <xdr:col>0</xdr:col>
      <xdr:colOff>908555</xdr:colOff>
      <xdr:row>41</xdr:row>
      <xdr:rowOff>156041</xdr:rowOff>
    </xdr:to>
    <xdr:sp macro="" textlink="">
      <xdr:nvSpPr>
        <xdr:cNvPr id="239" name="Flecha: hacia abajo 109">
          <a:extLst>
            <a:ext uri="{FF2B5EF4-FFF2-40B4-BE49-F238E27FC236}">
              <a16:creationId xmlns:a16="http://schemas.microsoft.com/office/drawing/2014/main" id="{D812EAA0-038A-4878-B032-12647D63473F}"/>
            </a:ext>
          </a:extLst>
        </xdr:cNvPr>
        <xdr:cNvSpPr/>
      </xdr:nvSpPr>
      <xdr:spPr>
        <a:xfrm>
          <a:off x="666750" y="7753350"/>
          <a:ext cx="241805" cy="213191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endParaRPr lang="es-MX"/>
        </a:p>
      </xdr:txBody>
    </xdr:sp>
    <xdr:clientData/>
  </xdr:twoCellAnchor>
  <xdr:twoCellAnchor>
    <xdr:from>
      <xdr:col>1</xdr:col>
      <xdr:colOff>219076</xdr:colOff>
      <xdr:row>58</xdr:row>
      <xdr:rowOff>0</xdr:rowOff>
    </xdr:from>
    <xdr:to>
      <xdr:col>1</xdr:col>
      <xdr:colOff>477949</xdr:colOff>
      <xdr:row>59</xdr:row>
      <xdr:rowOff>27124</xdr:rowOff>
    </xdr:to>
    <xdr:sp macro="" textlink="">
      <xdr:nvSpPr>
        <xdr:cNvPr id="240" name="Flecha: hacia abajo 127">
          <a:extLst>
            <a:ext uri="{FF2B5EF4-FFF2-40B4-BE49-F238E27FC236}">
              <a16:creationId xmlns:a16="http://schemas.microsoft.com/office/drawing/2014/main" id="{E1B9ED94-5A74-42B6-93BD-4E407D7E63D7}"/>
            </a:ext>
          </a:extLst>
        </xdr:cNvPr>
        <xdr:cNvSpPr/>
      </xdr:nvSpPr>
      <xdr:spPr>
        <a:xfrm rot="16200000">
          <a:off x="1611301" y="11028375"/>
          <a:ext cx="217624" cy="258873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endParaRPr lang="es-MX"/>
        </a:p>
      </xdr:txBody>
    </xdr:sp>
    <xdr:clientData/>
  </xdr:twoCellAnchor>
  <xdr:twoCellAnchor>
    <xdr:from>
      <xdr:col>2</xdr:col>
      <xdr:colOff>132029</xdr:colOff>
      <xdr:row>58</xdr:row>
      <xdr:rowOff>0</xdr:rowOff>
    </xdr:from>
    <xdr:to>
      <xdr:col>2</xdr:col>
      <xdr:colOff>390902</xdr:colOff>
      <xdr:row>59</xdr:row>
      <xdr:rowOff>27124</xdr:rowOff>
    </xdr:to>
    <xdr:sp macro="" textlink="">
      <xdr:nvSpPr>
        <xdr:cNvPr id="241" name="Flecha: hacia abajo 128">
          <a:extLst>
            <a:ext uri="{FF2B5EF4-FFF2-40B4-BE49-F238E27FC236}">
              <a16:creationId xmlns:a16="http://schemas.microsoft.com/office/drawing/2014/main" id="{BBF83195-EC45-45E5-B64B-A3AD9926563D}"/>
            </a:ext>
          </a:extLst>
        </xdr:cNvPr>
        <xdr:cNvSpPr/>
      </xdr:nvSpPr>
      <xdr:spPr>
        <a:xfrm rot="16200000">
          <a:off x="3448304" y="11028375"/>
          <a:ext cx="217624" cy="258873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endParaRPr lang="es-MX"/>
        </a:p>
      </xdr:txBody>
    </xdr:sp>
    <xdr:clientData/>
  </xdr:twoCellAnchor>
  <xdr:twoCellAnchor>
    <xdr:from>
      <xdr:col>0</xdr:col>
      <xdr:colOff>685800</xdr:colOff>
      <xdr:row>45</xdr:row>
      <xdr:rowOff>9525</xdr:rowOff>
    </xdr:from>
    <xdr:to>
      <xdr:col>0</xdr:col>
      <xdr:colOff>927605</xdr:colOff>
      <xdr:row>46</xdr:row>
      <xdr:rowOff>32216</xdr:rowOff>
    </xdr:to>
    <xdr:sp macro="" textlink="">
      <xdr:nvSpPr>
        <xdr:cNvPr id="242" name="Flecha: hacia abajo 109">
          <a:extLst>
            <a:ext uri="{FF2B5EF4-FFF2-40B4-BE49-F238E27FC236}">
              <a16:creationId xmlns:a16="http://schemas.microsoft.com/office/drawing/2014/main" id="{54C7CAD1-3022-4558-A7F3-971D2E53F550}"/>
            </a:ext>
          </a:extLst>
        </xdr:cNvPr>
        <xdr:cNvSpPr/>
      </xdr:nvSpPr>
      <xdr:spPr>
        <a:xfrm>
          <a:off x="685800" y="8582025"/>
          <a:ext cx="241805" cy="213191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endParaRPr lang="es-MX"/>
        </a:p>
      </xdr:txBody>
    </xdr:sp>
    <xdr:clientData/>
  </xdr:twoCellAnchor>
  <xdr:twoCellAnchor>
    <xdr:from>
      <xdr:col>0</xdr:col>
      <xdr:colOff>676275</xdr:colOff>
      <xdr:row>49</xdr:row>
      <xdr:rowOff>114300</xdr:rowOff>
    </xdr:from>
    <xdr:to>
      <xdr:col>0</xdr:col>
      <xdr:colOff>918080</xdr:colOff>
      <xdr:row>50</xdr:row>
      <xdr:rowOff>136991</xdr:rowOff>
    </xdr:to>
    <xdr:sp macro="" textlink="">
      <xdr:nvSpPr>
        <xdr:cNvPr id="243" name="Flecha: hacia abajo 109">
          <a:extLst>
            <a:ext uri="{FF2B5EF4-FFF2-40B4-BE49-F238E27FC236}">
              <a16:creationId xmlns:a16="http://schemas.microsoft.com/office/drawing/2014/main" id="{0D6081A1-B4AB-40EE-B7BD-00331EB280E1}"/>
            </a:ext>
          </a:extLst>
        </xdr:cNvPr>
        <xdr:cNvSpPr/>
      </xdr:nvSpPr>
      <xdr:spPr>
        <a:xfrm>
          <a:off x="676275" y="9448800"/>
          <a:ext cx="241805" cy="213191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endParaRPr lang="es-MX"/>
        </a:p>
      </xdr:txBody>
    </xdr:sp>
    <xdr:clientData/>
  </xdr:twoCellAnchor>
  <xdr:twoCellAnchor>
    <xdr:from>
      <xdr:col>0</xdr:col>
      <xdr:colOff>666750</xdr:colOff>
      <xdr:row>55</xdr:row>
      <xdr:rowOff>47625</xdr:rowOff>
    </xdr:from>
    <xdr:to>
      <xdr:col>0</xdr:col>
      <xdr:colOff>908555</xdr:colOff>
      <xdr:row>56</xdr:row>
      <xdr:rowOff>70316</xdr:rowOff>
    </xdr:to>
    <xdr:sp macro="" textlink="">
      <xdr:nvSpPr>
        <xdr:cNvPr id="244" name="Flecha: hacia abajo 109">
          <a:extLst>
            <a:ext uri="{FF2B5EF4-FFF2-40B4-BE49-F238E27FC236}">
              <a16:creationId xmlns:a16="http://schemas.microsoft.com/office/drawing/2014/main" id="{BA5CA766-CDD4-4896-BB5C-C1B8064B486B}"/>
            </a:ext>
          </a:extLst>
        </xdr:cNvPr>
        <xdr:cNvSpPr/>
      </xdr:nvSpPr>
      <xdr:spPr>
        <a:xfrm>
          <a:off x="666750" y="10525125"/>
          <a:ext cx="241805" cy="213191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endParaRPr lang="es-MX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265613</xdr:colOff>
      <xdr:row>61</xdr:row>
      <xdr:rowOff>83932</xdr:rowOff>
    </xdr:from>
    <xdr:to>
      <xdr:col>21</xdr:col>
      <xdr:colOff>533400</xdr:colOff>
      <xdr:row>81</xdr:row>
      <xdr:rowOff>66675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D85D0100-29EF-4483-AEF5-CB3FFDB6A2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381683</xdr:colOff>
      <xdr:row>1</xdr:row>
      <xdr:rowOff>109538</xdr:rowOff>
    </xdr:from>
    <xdr:to>
      <xdr:col>21</xdr:col>
      <xdr:colOff>533400</xdr:colOff>
      <xdr:row>31</xdr:row>
      <xdr:rowOff>76200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F9FF583-656F-4A20-B9C4-C2E1CADBAC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478285</xdr:colOff>
      <xdr:row>30</xdr:row>
      <xdr:rowOff>127444</xdr:rowOff>
    </xdr:from>
    <xdr:to>
      <xdr:col>21</xdr:col>
      <xdr:colOff>704850</xdr:colOff>
      <xdr:row>51</xdr:row>
      <xdr:rowOff>122464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468DA6AE-B223-4965-9B01-4325AECDF9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621400</xdr:colOff>
      <xdr:row>11</xdr:row>
      <xdr:rowOff>109682</xdr:rowOff>
    </xdr:from>
    <xdr:to>
      <xdr:col>35</xdr:col>
      <xdr:colOff>498022</xdr:colOff>
      <xdr:row>42</xdr:row>
      <xdr:rowOff>62593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3CBDF846-37A2-45D9-8EC9-C8F58DA186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1289955</xdr:colOff>
      <xdr:row>95</xdr:row>
      <xdr:rowOff>12615</xdr:rowOff>
    </xdr:from>
    <xdr:to>
      <xdr:col>23</xdr:col>
      <xdr:colOff>249816</xdr:colOff>
      <xdr:row>115</xdr:row>
      <xdr:rowOff>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A2FAFFBB-A548-4969-8D78-3B8EAB29BF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1323975</xdr:colOff>
      <xdr:row>127</xdr:row>
      <xdr:rowOff>64294</xdr:rowOff>
    </xdr:from>
    <xdr:to>
      <xdr:col>23</xdr:col>
      <xdr:colOff>129021</xdr:colOff>
      <xdr:row>147</xdr:row>
      <xdr:rowOff>47037</xdr:rowOff>
    </xdr:to>
    <xdr:graphicFrame macro="">
      <xdr:nvGraphicFramePr>
        <xdr:cNvPr id="7" name="Gráfico 2">
          <a:extLst>
            <a:ext uri="{FF2B5EF4-FFF2-40B4-BE49-F238E27FC236}">
              <a16:creationId xmlns:a16="http://schemas.microsoft.com/office/drawing/2014/main" id="{6053C49E-2F13-4D96-AE82-0D7FC70A3C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16658</xdr:colOff>
      <xdr:row>0</xdr:row>
      <xdr:rowOff>365126</xdr:rowOff>
    </xdr:from>
    <xdr:to>
      <xdr:col>11</xdr:col>
      <xdr:colOff>746125</xdr:colOff>
      <xdr:row>29</xdr:row>
      <xdr:rowOff>86180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723643A9-011D-4C54-A654-1BDA316CF3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730251</xdr:colOff>
      <xdr:row>30</xdr:row>
      <xdr:rowOff>174049</xdr:rowOff>
    </xdr:from>
    <xdr:to>
      <xdr:col>10</xdr:col>
      <xdr:colOff>1337213</xdr:colOff>
      <xdr:row>55</xdr:row>
      <xdr:rowOff>111125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A41FD541-B40F-43D5-A334-801F148EC8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79375</xdr:colOff>
      <xdr:row>1</xdr:row>
      <xdr:rowOff>158750</xdr:rowOff>
    </xdr:from>
    <xdr:to>
      <xdr:col>15</xdr:col>
      <xdr:colOff>254000</xdr:colOff>
      <xdr:row>25</xdr:row>
      <xdr:rowOff>95250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D9792EC-2B5E-495A-AC01-ACA8F37B1515}"/>
            </a:ext>
          </a:extLst>
        </xdr:cNvPr>
        <xdr:cNvSpPr txBox="1"/>
      </xdr:nvSpPr>
      <xdr:spPr>
        <a:xfrm>
          <a:off x="17351375" y="555625"/>
          <a:ext cx="2825750" cy="4587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800"/>
            <a:t>Nuestro mayor consumo de energia es la energia electrica, a pesar de que nosotros hemos hecho termografias,</a:t>
          </a:r>
          <a:r>
            <a:rPr lang="es-CO" sz="1800" baseline="0"/>
            <a:t> implementamos lamparas LED en toda la empresa, entre otros programas ha sido dificil disminuir este consumo.</a:t>
          </a:r>
          <a:endParaRPr lang="es-CO" sz="1800"/>
        </a:p>
      </xdr:txBody>
    </xdr:sp>
    <xdr:clientData/>
  </xdr:twoCellAnchor>
  <xdr:twoCellAnchor>
    <xdr:from>
      <xdr:col>11</xdr:col>
      <xdr:colOff>0</xdr:colOff>
      <xdr:row>31</xdr:row>
      <xdr:rowOff>0</xdr:rowOff>
    </xdr:from>
    <xdr:to>
      <xdr:col>13</xdr:col>
      <xdr:colOff>301625</xdr:colOff>
      <xdr:row>55</xdr:row>
      <xdr:rowOff>15875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6EF63FBC-0DF0-453C-A8F8-C9BD532C0E2F}"/>
            </a:ext>
          </a:extLst>
        </xdr:cNvPr>
        <xdr:cNvSpPr txBox="1"/>
      </xdr:nvSpPr>
      <xdr:spPr>
        <a:xfrm>
          <a:off x="15875000" y="6191250"/>
          <a:ext cx="2825750" cy="4587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800"/>
            <a:t>asi como nuestro consumo energia es mayor tambien se evidencia en el precio, esto tambien es debido a que contratamos</a:t>
          </a:r>
          <a:r>
            <a:rPr lang="es-CO" sz="1800" baseline="0"/>
            <a:t> energia con celsia quien hasta cierta parte nos provee energia de origen renovable en cierto porcentaje y es por esto que el costo de energia se eleva.</a:t>
          </a:r>
          <a:endParaRPr lang="es-CO" sz="18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23812</xdr:colOff>
      <xdr:row>80</xdr:row>
      <xdr:rowOff>9525</xdr:rowOff>
    </xdr:from>
    <xdr:to>
      <xdr:col>12</xdr:col>
      <xdr:colOff>23812</xdr:colOff>
      <xdr:row>94</xdr:row>
      <xdr:rowOff>85725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4DD7CF41-1343-41CD-AE76-C85AE0A99A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432831</xdr:colOff>
      <xdr:row>3</xdr:row>
      <xdr:rowOff>0</xdr:rowOff>
    </xdr:from>
    <xdr:to>
      <xdr:col>24</xdr:col>
      <xdr:colOff>952501</xdr:colOff>
      <xdr:row>29</xdr:row>
      <xdr:rowOff>176893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5DCA9C9-B59D-47EB-AC92-E2203943C1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394607</xdr:colOff>
      <xdr:row>16</xdr:row>
      <xdr:rowOff>54429</xdr:rowOff>
    </xdr:from>
    <xdr:to>
      <xdr:col>7</xdr:col>
      <xdr:colOff>802822</xdr:colOff>
      <xdr:row>25</xdr:row>
      <xdr:rowOff>27214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799550FC-3B8F-4935-BD30-AD51C5DF2709}"/>
            </a:ext>
          </a:extLst>
        </xdr:cNvPr>
        <xdr:cNvSpPr txBox="1"/>
      </xdr:nvSpPr>
      <xdr:spPr>
        <a:xfrm>
          <a:off x="394607" y="3483429"/>
          <a:ext cx="5102679" cy="168728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/>
            <a:t>Una correlacion de mi peoyeccion de produccion con el consumo de energia,</a:t>
          </a:r>
        </a:p>
        <a:p>
          <a:r>
            <a:rPr lang="es-CO" sz="1100"/>
            <a:t>Nuestra</a:t>
          </a:r>
          <a:r>
            <a:rPr lang="es-CO" sz="1100" baseline="0"/>
            <a:t> meta de produccion es de 1600 ton al mes</a:t>
          </a:r>
        </a:p>
        <a:p>
          <a:r>
            <a:rPr lang="es-CO" sz="1100" baseline="0"/>
            <a:t>a pesar de que el 2021 fue un año atipico nos concentramos en esta producicon.</a:t>
          </a:r>
        </a:p>
        <a:p>
          <a:endParaRPr lang="es-CO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855518</xdr:colOff>
      <xdr:row>3</xdr:row>
      <xdr:rowOff>190499</xdr:rowOff>
    </xdr:from>
    <xdr:to>
      <xdr:col>27</xdr:col>
      <xdr:colOff>300902</xdr:colOff>
      <xdr:row>22</xdr:row>
      <xdr:rowOff>70476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30CB6783-EF24-47A6-A7C5-9CF19BC316D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445077</xdr:colOff>
      <xdr:row>35</xdr:row>
      <xdr:rowOff>155287</xdr:rowOff>
    </xdr:from>
    <xdr:to>
      <xdr:col>12</xdr:col>
      <xdr:colOff>157739</xdr:colOff>
      <xdr:row>57</xdr:row>
      <xdr:rowOff>6689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D7A0D418-E47D-4778-883E-C8F6678FDB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28</xdr:col>
      <xdr:colOff>349250</xdr:colOff>
      <xdr:row>3</xdr:row>
      <xdr:rowOff>0</xdr:rowOff>
    </xdr:from>
    <xdr:to>
      <xdr:col>31</xdr:col>
      <xdr:colOff>63500</xdr:colOff>
      <xdr:row>7</xdr:row>
      <xdr:rowOff>105834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83C8A5D-250D-4636-A1E8-9A415FC83EE2}"/>
            </a:ext>
          </a:extLst>
        </xdr:cNvPr>
        <xdr:cNvSpPr txBox="1"/>
      </xdr:nvSpPr>
      <xdr:spPr>
        <a:xfrm>
          <a:off x="29675667" y="719667"/>
          <a:ext cx="2952750" cy="1397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/>
            <a:t>Para los mese de abril y junio la produccion bajo al</a:t>
          </a:r>
          <a:r>
            <a:rPr lang="es-CO" sz="1100" baseline="0"/>
            <a:t> igual que el consumo de energia pero ambos son directamente  proporcionales en el año.</a:t>
          </a:r>
          <a:endParaRPr lang="es-CO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684608</xdr:colOff>
      <xdr:row>1</xdr:row>
      <xdr:rowOff>176212</xdr:rowOff>
    </xdr:from>
    <xdr:to>
      <xdr:col>14</xdr:col>
      <xdr:colOff>59531</xdr:colOff>
      <xdr:row>23</xdr:row>
      <xdr:rowOff>11906</xdr:rowOff>
    </xdr:to>
    <xdr:graphicFrame macro="">
      <xdr:nvGraphicFramePr>
        <xdr:cNvPr id="73" name="Chart 72">
          <a:extLst>
            <a:ext uri="{FF2B5EF4-FFF2-40B4-BE49-F238E27FC236}">
              <a16:creationId xmlns:a16="http://schemas.microsoft.com/office/drawing/2014/main" id="{11D38C83-5BE5-4EC9-959A-024540DCB8D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892969</xdr:colOff>
      <xdr:row>19</xdr:row>
      <xdr:rowOff>71437</xdr:rowOff>
    </xdr:from>
    <xdr:to>
      <xdr:col>5</xdr:col>
      <xdr:colOff>976313</xdr:colOff>
      <xdr:row>25</xdr:row>
      <xdr:rowOff>0</xdr:rowOff>
    </xdr:to>
    <xdr:sp macro="" textlink="">
      <xdr:nvSpPr>
        <xdr:cNvPr id="74" name="Rectangle 73">
          <a:extLst>
            <a:ext uri="{FF2B5EF4-FFF2-40B4-BE49-F238E27FC236}">
              <a16:creationId xmlns:a16="http://schemas.microsoft.com/office/drawing/2014/main" id="{8B3B9277-C3E6-4C54-9BA4-60CD6FDB47CB}"/>
            </a:ext>
          </a:extLst>
        </xdr:cNvPr>
        <xdr:cNvSpPr/>
      </xdr:nvSpPr>
      <xdr:spPr>
        <a:xfrm>
          <a:off x="892969" y="3690937"/>
          <a:ext cx="6858000" cy="1071563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/>
            <a:t>En el diagrama de pareto se observa que el</a:t>
          </a:r>
          <a:r>
            <a:rPr lang="es-CO" sz="1100" baseline="0"/>
            <a:t> area con maor consumo de energeia es el area de trefilados.</a:t>
          </a:r>
          <a:endParaRPr lang="es-CO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nexo%203_%20Matriz%20de%20caracterizacion%20Industrial%20ladrillera%20Santo%20doming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Nuevo%20Google%20Drive/Trabajo%202017/CAEM/Empreas%20visitadas/1.%20El%20Tigre%20-%20Informe%20Ang&#233;lica/Inventario%20El%20Tigre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1013609544/Dropbox/NAMA_2017/INFORME%20EMPRESAS%20CAR-NAMA/Inventario%20San%20Luis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Escritorio/CARATERIZACION%20ENERGETICA%20EMPRESAS/EMPRESAS%20ANDRES/LADRILLERA%20OVINDOLI/Caracterizaci&#243;n%20energetica/Informe/Modelo%20de%20Caracterizacion%20Industria%20ovindol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o"/>
      <sheetName val="Identificación"/>
      <sheetName val="Procesos productivos"/>
      <sheetName val="Consumo Energeticos"/>
      <sheetName val="Históricos"/>
      <sheetName val="Matríz Energética"/>
      <sheetName val="LINEA BASE"/>
      <sheetName val="IC VS PRODUCCIÓN"/>
      <sheetName val="Analisis Energeticos"/>
      <sheetName val="INDICADORES E"/>
      <sheetName val="DIAGRAMA DE PARETO "/>
      <sheetName val="Inventario Electrico"/>
      <sheetName val="Inventario Termico"/>
      <sheetName val="Inventario vehiculos "/>
      <sheetName val="Plan de gestion"/>
      <sheetName val="List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5">
          <cell r="B5" t="str">
            <v>Fuerza motriz</v>
          </cell>
          <cell r="D5" t="str">
            <v>Vapor</v>
          </cell>
        </row>
        <row r="6">
          <cell r="B6" t="str">
            <v>Refrigeración</v>
          </cell>
          <cell r="D6" t="str">
            <v>Calor directo</v>
          </cell>
        </row>
        <row r="7">
          <cell r="B7" t="str">
            <v>Aire Acondicionado</v>
          </cell>
          <cell r="D7" t="str">
            <v>Calor indirecto</v>
          </cell>
        </row>
        <row r="8">
          <cell r="B8" t="str">
            <v>Iluminación</v>
          </cell>
          <cell r="D8" t="str">
            <v>Otros</v>
          </cell>
        </row>
        <row r="9">
          <cell r="B9" t="str">
            <v>Calor Directo</v>
          </cell>
        </row>
        <row r="10">
          <cell r="B10" t="str">
            <v>Equipo de oficina</v>
          </cell>
        </row>
        <row r="11">
          <cell r="B11" t="str">
            <v>Otros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entificacion"/>
      <sheetName val="Energeticos"/>
      <sheetName val="Inventario Electrico"/>
      <sheetName val="Inventario Termico"/>
      <sheetName val="URE Termica"/>
      <sheetName val="Analisis Inventario Electrico"/>
      <sheetName val="Analisis Inventario Termico"/>
      <sheetName val="A Iluminacion AA"/>
      <sheetName val="Indicadores"/>
      <sheetName val="Matriz Resumen"/>
      <sheetName val="Informe"/>
      <sheetName val="Listas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1">
          <cell r="E31" t="str">
            <v>Medido</v>
          </cell>
        </row>
        <row r="32">
          <cell r="E32" t="str">
            <v>Estimado</v>
          </cell>
        </row>
        <row r="39">
          <cell r="B39" t="str">
            <v>Iluminación</v>
          </cell>
        </row>
        <row r="40">
          <cell r="B40" t="str">
            <v>Fuerza_Motriz</v>
          </cell>
        </row>
        <row r="41">
          <cell r="B41" t="str">
            <v>Aire_Acondicionado</v>
          </cell>
        </row>
        <row r="42">
          <cell r="B42" t="str">
            <v>Refrigeracion</v>
          </cell>
        </row>
        <row r="43">
          <cell r="B43" t="str">
            <v>Equipos_Ofimaticos</v>
          </cell>
        </row>
        <row r="44">
          <cell r="B44" t="str">
            <v>Equipos_Entretenimiento</v>
          </cell>
        </row>
        <row r="45">
          <cell r="B45" t="str">
            <v>Calor_Directo</v>
          </cell>
        </row>
        <row r="46">
          <cell r="B46" t="str">
            <v>Calor_Indirecto</v>
          </cell>
        </row>
        <row r="47">
          <cell r="B47" t="str">
            <v>Otros</v>
          </cell>
        </row>
      </sheetData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entificacion"/>
      <sheetName val="Energeticos"/>
      <sheetName val="Inventario Electrico"/>
      <sheetName val="Inventario Termico"/>
      <sheetName val="URE Termica"/>
      <sheetName val="Analisis Inventario Electrico"/>
      <sheetName val="Analisis Inventario Termico"/>
      <sheetName val="A Iluminacion AA"/>
      <sheetName val="Indicadores"/>
      <sheetName val="Matriz Resumen"/>
      <sheetName val="Informe"/>
      <sheetName val="Listas"/>
      <sheetName val="Hoja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9">
          <cell r="B39" t="str">
            <v>Iluminación</v>
          </cell>
        </row>
        <row r="40">
          <cell r="B40" t="str">
            <v>Fuerza_Motriz</v>
          </cell>
        </row>
        <row r="41">
          <cell r="B41" t="str">
            <v>Aire_Acondicionado</v>
          </cell>
        </row>
        <row r="42">
          <cell r="B42" t="str">
            <v>Refrigeracion</v>
          </cell>
        </row>
        <row r="43">
          <cell r="B43" t="str">
            <v>Equipos_Ofimaticos</v>
          </cell>
        </row>
        <row r="44">
          <cell r="B44" t="str">
            <v>Equipos_Entretenimiento</v>
          </cell>
        </row>
        <row r="45">
          <cell r="B45" t="str">
            <v>Calor_Directo</v>
          </cell>
        </row>
        <row r="46">
          <cell r="B46" t="str">
            <v>Calor_Indirecto</v>
          </cell>
        </row>
        <row r="47">
          <cell r="B47" t="str">
            <v>Otros</v>
          </cell>
        </row>
      </sheetData>
      <sheetData sheetId="1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o"/>
      <sheetName val="Identificación"/>
      <sheetName val="Históricos"/>
      <sheetName val="Consumo Energeticos"/>
      <sheetName val="Matríz Energética"/>
      <sheetName val="Analisis Energeticos"/>
      <sheetName val="IC TOTAL"/>
      <sheetName val="ETOTALP"/>
      <sheetName val="ICeP"/>
      <sheetName val="ICtP"/>
      <sheetName val="EEP"/>
      <sheetName val="ETP"/>
      <sheetName val="ETP (2)"/>
      <sheetName val="Inventario Electrico"/>
      <sheetName val="Inventario Termico"/>
      <sheetName val="Inventario de vehiculos "/>
      <sheetName val="Analisis Inventario Electrico"/>
      <sheetName val="Analisis Inventario Termico"/>
      <sheetName val="PLAN"/>
      <sheetName val="Listas"/>
    </sheetNames>
    <sheetDataSet>
      <sheetData sheetId="0"/>
      <sheetData sheetId="1"/>
      <sheetData sheetId="2">
        <row r="95">
          <cell r="B95">
            <v>7545</v>
          </cell>
        </row>
      </sheetData>
      <sheetData sheetId="3">
        <row r="4">
          <cell r="D4" t="str">
            <v>Producción</v>
          </cell>
        </row>
        <row r="7">
          <cell r="B7">
            <v>1</v>
          </cell>
        </row>
        <row r="8">
          <cell r="B8">
            <v>2</v>
          </cell>
        </row>
        <row r="9">
          <cell r="B9">
            <v>3</v>
          </cell>
        </row>
        <row r="10">
          <cell r="B10">
            <v>4</v>
          </cell>
        </row>
        <row r="11">
          <cell r="B11">
            <v>5</v>
          </cell>
        </row>
        <row r="12">
          <cell r="B12">
            <v>6</v>
          </cell>
        </row>
        <row r="13">
          <cell r="B13">
            <v>7</v>
          </cell>
        </row>
        <row r="14">
          <cell r="B14">
            <v>8</v>
          </cell>
        </row>
        <row r="15">
          <cell r="B15">
            <v>9</v>
          </cell>
        </row>
        <row r="16">
          <cell r="B16">
            <v>10</v>
          </cell>
        </row>
        <row r="17">
          <cell r="B17">
            <v>11</v>
          </cell>
        </row>
        <row r="18">
          <cell r="B18">
            <v>12</v>
          </cell>
        </row>
      </sheetData>
      <sheetData sheetId="4"/>
      <sheetData sheetId="5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Maya Nancy (EXT)" id="{BA2330DA-2474-4864-80C5-35EEED6F5B79}" userId="S::nancy.malla.ex@prysmiangroup.com::f3d26128-a3fb-4ea7-964b-349efeb3e358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3" dT="2022-06-15T19:17:47.89" personId="{BA2330DA-2474-4864-80C5-35EEED6F5B79}" id="{99C2CDE7-67D6-4E08-81BD-1A3FAAA87218}">
    <text>Se toman las dos cuentas mas representativas y se excluye la de enel
por que as otras suman mas del 90%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://www.upme.gov.co/Calculadora_Emisiones/aplicacion/calculadora.html" TargetMode="External"/><Relationship Id="rId13" Type="http://schemas.openxmlformats.org/officeDocument/2006/relationships/comments" Target="../comments1.xml"/><Relationship Id="rId3" Type="http://schemas.openxmlformats.org/officeDocument/2006/relationships/hyperlink" Target="http://www.upme.gov.co/generadorconsultas/Consulta_Series.aspx?idModulo=3&amp;tipoSerie=136&amp;fechainicial=01/01/2010&amp;fechafinal=31/12/2016" TargetMode="External"/><Relationship Id="rId7" Type="http://schemas.openxmlformats.org/officeDocument/2006/relationships/hyperlink" Target="https://www.google.com.co/webhp?sourceid=chrome-instant&amp;ion=1&amp;espv=2&amp;ie=UTF-8" TargetMode="External"/><Relationship Id="rId12" Type="http://schemas.openxmlformats.org/officeDocument/2006/relationships/vmlDrawing" Target="../drawings/vmlDrawing1.vml"/><Relationship Id="rId2" Type="http://schemas.openxmlformats.org/officeDocument/2006/relationships/hyperlink" Target="http://www.sipg.gov.co/sipg/documentos/estudios_recientes/Informe_Final_CTL.pdf" TargetMode="External"/><Relationship Id="rId1" Type="http://schemas.openxmlformats.org/officeDocument/2006/relationships/hyperlink" Target="http://www.upme.gov.co/Calculadora_Emisiones/aplicacion/calculadora.html" TargetMode="External"/><Relationship Id="rId6" Type="http://schemas.openxmlformats.org/officeDocument/2006/relationships/hyperlink" Target="http://www.upme.gov.co/generadorconsultas/Consulta_Series.aspx?idModulo=3&amp;tipoSerie=135&amp;fechainicial=01/01/2010&amp;fechafinal=31/12/2016" TargetMode="External"/><Relationship Id="rId11" Type="http://schemas.openxmlformats.org/officeDocument/2006/relationships/drawing" Target="../drawings/drawing3.xml"/><Relationship Id="rId5" Type="http://schemas.openxmlformats.org/officeDocument/2006/relationships/hyperlink" Target="https://www.google.com.co/webhp?sourceid=chrome-instant&amp;ion=1&amp;espv=2&amp;ie=UTF-8" TargetMode="External"/><Relationship Id="rId10" Type="http://schemas.openxmlformats.org/officeDocument/2006/relationships/printerSettings" Target="../printerSettings/printerSettings3.bin"/><Relationship Id="rId4" Type="http://schemas.openxmlformats.org/officeDocument/2006/relationships/hyperlink" Target="http://www.upme.gov.co/Calculadora_Emisiones/aplicacion/calculadora.html" TargetMode="External"/><Relationship Id="rId9" Type="http://schemas.openxmlformats.org/officeDocument/2006/relationships/hyperlink" Target="http://www.upme.gov.co/Calculadora_Emisiones/aplicacion/calculadora.html" TargetMode="External"/><Relationship Id="rId14" Type="http://schemas.microsoft.com/office/2017/10/relationships/threadedComment" Target="../threadedComments/threadedComment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Q1:AA28"/>
  <sheetViews>
    <sheetView topLeftCell="H2" zoomScale="80" zoomScaleNormal="80" workbookViewId="0">
      <selection activeCell="Q18" sqref="Q18:AA24"/>
    </sheetView>
  </sheetViews>
  <sheetFormatPr defaultColWidth="11.42578125" defaultRowHeight="15"/>
  <sheetData>
    <row r="1" spans="17:27" s="114" customFormat="1">
      <c r="Q1" s="295" t="s">
        <v>156</v>
      </c>
      <c r="R1" s="295"/>
      <c r="S1" s="295"/>
      <c r="T1" s="295"/>
      <c r="U1" s="295"/>
      <c r="V1" s="295"/>
      <c r="W1" s="295"/>
      <c r="X1" s="295"/>
      <c r="Y1" s="295"/>
      <c r="Z1" s="295"/>
      <c r="AA1" s="295"/>
    </row>
    <row r="2" spans="17:27">
      <c r="Q2" s="295"/>
      <c r="R2" s="295"/>
      <c r="S2" s="295"/>
      <c r="T2" s="295"/>
      <c r="U2" s="295"/>
      <c r="V2" s="295"/>
      <c r="W2" s="295"/>
      <c r="X2" s="295"/>
      <c r="Y2" s="295"/>
      <c r="Z2" s="295"/>
      <c r="AA2" s="295"/>
    </row>
    <row r="3" spans="17:27" ht="15" customHeight="1">
      <c r="Q3" s="296" t="s">
        <v>167</v>
      </c>
      <c r="R3" s="296"/>
      <c r="S3" s="296"/>
      <c r="T3" s="296"/>
      <c r="U3" s="296"/>
      <c r="V3" s="296"/>
      <c r="W3" s="296"/>
      <c r="X3" s="296"/>
      <c r="Y3" s="296"/>
      <c r="Z3" s="296"/>
      <c r="AA3" s="296"/>
    </row>
    <row r="4" spans="17:27" ht="15" customHeight="1">
      <c r="Q4" s="296"/>
      <c r="R4" s="296"/>
      <c r="S4" s="296"/>
      <c r="T4" s="296"/>
      <c r="U4" s="296"/>
      <c r="V4" s="296"/>
      <c r="W4" s="296"/>
      <c r="X4" s="296"/>
      <c r="Y4" s="296"/>
      <c r="Z4" s="296"/>
      <c r="AA4" s="296"/>
    </row>
    <row r="5" spans="17:27" ht="15" customHeight="1">
      <c r="Q5" s="296"/>
      <c r="R5" s="296"/>
      <c r="S5" s="296"/>
      <c r="T5" s="296"/>
      <c r="U5" s="296"/>
      <c r="V5" s="296"/>
      <c r="W5" s="296"/>
      <c r="X5" s="296"/>
      <c r="Y5" s="296"/>
      <c r="Z5" s="296"/>
      <c r="AA5" s="296"/>
    </row>
    <row r="6" spans="17:27" ht="15" customHeight="1">
      <c r="Q6" s="296"/>
      <c r="R6" s="296"/>
      <c r="S6" s="296"/>
      <c r="T6" s="296"/>
      <c r="U6" s="296"/>
      <c r="V6" s="296"/>
      <c r="W6" s="296"/>
      <c r="X6" s="296"/>
      <c r="Y6" s="296"/>
      <c r="Z6" s="296"/>
      <c r="AA6" s="296"/>
    </row>
    <row r="7" spans="17:27">
      <c r="Q7" s="296"/>
      <c r="R7" s="296"/>
      <c r="S7" s="296"/>
      <c r="T7" s="296"/>
      <c r="U7" s="296"/>
      <c r="V7" s="296"/>
      <c r="W7" s="296"/>
      <c r="X7" s="296"/>
      <c r="Y7" s="296"/>
      <c r="Z7" s="296"/>
      <c r="AA7" s="296"/>
    </row>
    <row r="8" spans="17:27">
      <c r="Q8" s="296"/>
      <c r="R8" s="296"/>
      <c r="S8" s="296"/>
      <c r="T8" s="296"/>
      <c r="U8" s="296"/>
      <c r="V8" s="296"/>
      <c r="W8" s="296"/>
      <c r="X8" s="296"/>
      <c r="Y8" s="296"/>
      <c r="Z8" s="296"/>
      <c r="AA8" s="296"/>
    </row>
    <row r="9" spans="17:27">
      <c r="Q9" s="296"/>
      <c r="R9" s="296"/>
      <c r="S9" s="296"/>
      <c r="T9" s="296"/>
      <c r="U9" s="296"/>
      <c r="V9" s="296"/>
      <c r="W9" s="296"/>
      <c r="X9" s="296"/>
      <c r="Y9" s="296"/>
      <c r="Z9" s="296"/>
      <c r="AA9" s="296"/>
    </row>
    <row r="10" spans="17:27">
      <c r="Q10" s="296"/>
      <c r="R10" s="296"/>
      <c r="S10" s="296"/>
      <c r="T10" s="296"/>
      <c r="U10" s="296"/>
      <c r="V10" s="296"/>
      <c r="W10" s="296"/>
      <c r="X10" s="296"/>
      <c r="Y10" s="296"/>
      <c r="Z10" s="296"/>
      <c r="AA10" s="296"/>
    </row>
    <row r="11" spans="17:27" ht="15" customHeight="1">
      <c r="Q11" s="296" t="s">
        <v>169</v>
      </c>
      <c r="R11" s="296"/>
      <c r="S11" s="296"/>
      <c r="T11" s="296"/>
      <c r="U11" s="296"/>
      <c r="V11" s="296"/>
      <c r="W11" s="296"/>
      <c r="X11" s="296"/>
      <c r="Y11" s="296"/>
      <c r="Z11" s="296"/>
      <c r="AA11" s="296"/>
    </row>
    <row r="12" spans="17:27" ht="15" customHeight="1">
      <c r="Q12" s="296"/>
      <c r="R12" s="296"/>
      <c r="S12" s="296"/>
      <c r="T12" s="296"/>
      <c r="U12" s="296"/>
      <c r="V12" s="296"/>
      <c r="W12" s="296"/>
      <c r="X12" s="296"/>
      <c r="Y12" s="296"/>
      <c r="Z12" s="296"/>
      <c r="AA12" s="296"/>
    </row>
    <row r="13" spans="17:27" ht="15" customHeight="1">
      <c r="Q13" s="296"/>
      <c r="R13" s="296"/>
      <c r="S13" s="296"/>
      <c r="T13" s="296"/>
      <c r="U13" s="296"/>
      <c r="V13" s="296"/>
      <c r="W13" s="296"/>
      <c r="X13" s="296"/>
      <c r="Y13" s="296"/>
      <c r="Z13" s="296"/>
      <c r="AA13" s="296"/>
    </row>
    <row r="14" spans="17:27" ht="15" customHeight="1">
      <c r="Q14" s="296"/>
      <c r="R14" s="296"/>
      <c r="S14" s="296"/>
      <c r="T14" s="296"/>
      <c r="U14" s="296"/>
      <c r="V14" s="296"/>
      <c r="W14" s="296"/>
      <c r="X14" s="296"/>
      <c r="Y14" s="296"/>
      <c r="Z14" s="296"/>
      <c r="AA14" s="296"/>
    </row>
    <row r="15" spans="17:27" ht="15" customHeight="1">
      <c r="Q15" s="296"/>
      <c r="R15" s="296"/>
      <c r="S15" s="296"/>
      <c r="T15" s="296"/>
      <c r="U15" s="296"/>
      <c r="V15" s="296"/>
      <c r="W15" s="296"/>
      <c r="X15" s="296"/>
      <c r="Y15" s="296"/>
      <c r="Z15" s="296"/>
      <c r="AA15" s="296"/>
    </row>
    <row r="16" spans="17:27" ht="15" customHeight="1">
      <c r="Q16" s="296"/>
      <c r="R16" s="296"/>
      <c r="S16" s="296"/>
      <c r="T16" s="296"/>
      <c r="U16" s="296"/>
      <c r="V16" s="296"/>
      <c r="W16" s="296"/>
      <c r="X16" s="296"/>
      <c r="Y16" s="296"/>
      <c r="Z16" s="296"/>
      <c r="AA16" s="296"/>
    </row>
    <row r="17" spans="17:27" ht="15" customHeight="1">
      <c r="Q17" s="296"/>
      <c r="R17" s="296"/>
      <c r="S17" s="296"/>
      <c r="T17" s="296"/>
      <c r="U17" s="296"/>
      <c r="V17" s="296"/>
      <c r="W17" s="296"/>
      <c r="X17" s="296"/>
      <c r="Y17" s="296"/>
      <c r="Z17" s="296"/>
      <c r="AA17" s="296"/>
    </row>
    <row r="18" spans="17:27" ht="15" customHeight="1">
      <c r="Q18" s="297" t="s">
        <v>168</v>
      </c>
      <c r="R18" s="298"/>
      <c r="S18" s="298"/>
      <c r="T18" s="298"/>
      <c r="U18" s="298"/>
      <c r="V18" s="298"/>
      <c r="W18" s="298"/>
      <c r="X18" s="298"/>
      <c r="Y18" s="298"/>
      <c r="Z18" s="298"/>
      <c r="AA18" s="299"/>
    </row>
    <row r="19" spans="17:27" ht="18.75" customHeight="1">
      <c r="Q19" s="300"/>
      <c r="R19" s="301"/>
      <c r="S19" s="301"/>
      <c r="T19" s="301"/>
      <c r="U19" s="301"/>
      <c r="V19" s="301"/>
      <c r="W19" s="301"/>
      <c r="X19" s="301"/>
      <c r="Y19" s="301"/>
      <c r="Z19" s="301"/>
      <c r="AA19" s="302"/>
    </row>
    <row r="20" spans="17:27" ht="18.75" customHeight="1">
      <c r="Q20" s="300"/>
      <c r="R20" s="301"/>
      <c r="S20" s="301"/>
      <c r="T20" s="301"/>
      <c r="U20" s="301"/>
      <c r="V20" s="301"/>
      <c r="W20" s="301"/>
      <c r="X20" s="301"/>
      <c r="Y20" s="301"/>
      <c r="Z20" s="301"/>
      <c r="AA20" s="302"/>
    </row>
    <row r="21" spans="17:27" ht="18.75" customHeight="1">
      <c r="Q21" s="300"/>
      <c r="R21" s="301"/>
      <c r="S21" s="301"/>
      <c r="T21" s="301"/>
      <c r="U21" s="301"/>
      <c r="V21" s="301"/>
      <c r="W21" s="301"/>
      <c r="X21" s="301"/>
      <c r="Y21" s="301"/>
      <c r="Z21" s="301"/>
      <c r="AA21" s="302"/>
    </row>
    <row r="22" spans="17:27" ht="15" customHeight="1">
      <c r="Q22" s="300"/>
      <c r="R22" s="301"/>
      <c r="S22" s="301"/>
      <c r="T22" s="301"/>
      <c r="U22" s="301"/>
      <c r="V22" s="301"/>
      <c r="W22" s="301"/>
      <c r="X22" s="301"/>
      <c r="Y22" s="301"/>
      <c r="Z22" s="301"/>
      <c r="AA22" s="302"/>
    </row>
    <row r="23" spans="17:27" ht="15" customHeight="1">
      <c r="Q23" s="300"/>
      <c r="R23" s="301"/>
      <c r="S23" s="301"/>
      <c r="T23" s="301"/>
      <c r="U23" s="301"/>
      <c r="V23" s="301"/>
      <c r="W23" s="301"/>
      <c r="X23" s="301"/>
      <c r="Y23" s="301"/>
      <c r="Z23" s="301"/>
      <c r="AA23" s="302"/>
    </row>
    <row r="24" spans="17:27" ht="15" customHeight="1">
      <c r="Q24" s="303"/>
      <c r="R24" s="304"/>
      <c r="S24" s="304"/>
      <c r="T24" s="304"/>
      <c r="U24" s="304"/>
      <c r="V24" s="304"/>
      <c r="W24" s="304"/>
      <c r="X24" s="304"/>
      <c r="Y24" s="304"/>
      <c r="Z24" s="304"/>
      <c r="AA24" s="305"/>
    </row>
    <row r="25" spans="17:27" ht="15" customHeight="1"/>
    <row r="26" spans="17:27" ht="15" customHeight="1"/>
    <row r="27" spans="17:27" ht="15" customHeight="1"/>
    <row r="28" spans="17:27" ht="15" customHeight="1"/>
  </sheetData>
  <mergeCells count="4">
    <mergeCell ref="Q1:AA2"/>
    <mergeCell ref="Q3:AA10"/>
    <mergeCell ref="Q11:AA17"/>
    <mergeCell ref="Q18:AA24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21"/>
  <sheetViews>
    <sheetView zoomScale="80" zoomScaleNormal="80" workbookViewId="0">
      <selection activeCell="E7" activeCellId="1" sqref="A7:A18 E7:F18"/>
    </sheetView>
  </sheetViews>
  <sheetFormatPr defaultColWidth="11.42578125" defaultRowHeight="15"/>
  <cols>
    <col min="1" max="1" width="24.140625" style="114" customWidth="1"/>
    <col min="2" max="2" width="26.140625" style="114" customWidth="1"/>
    <col min="3" max="3" width="21.140625" style="114" hidden="1" customWidth="1"/>
    <col min="4" max="4" width="21.5703125" style="114" bestFit="1" customWidth="1"/>
    <col min="5" max="5" width="29.85546875" style="114" bestFit="1" customWidth="1"/>
    <col min="6" max="6" width="27.7109375" style="114" bestFit="1" customWidth="1"/>
    <col min="7" max="7" width="33.42578125" style="114" bestFit="1" customWidth="1"/>
    <col min="8" max="16384" width="11.42578125" style="114"/>
  </cols>
  <sheetData>
    <row r="1" spans="1:8">
      <c r="E1" s="61"/>
      <c r="F1" s="61"/>
      <c r="G1" s="61"/>
    </row>
    <row r="2" spans="1:8">
      <c r="E2" s="61"/>
      <c r="F2" s="61"/>
      <c r="G2" s="61"/>
    </row>
    <row r="3" spans="1:8">
      <c r="A3"/>
      <c r="B3"/>
      <c r="C3"/>
      <c r="E3" s="61"/>
      <c r="F3" s="61"/>
      <c r="G3" s="61"/>
      <c r="H3" s="115"/>
    </row>
    <row r="4" spans="1:8">
      <c r="A4"/>
      <c r="B4"/>
      <c r="C4"/>
      <c r="E4" s="61"/>
      <c r="F4" s="61"/>
      <c r="G4" s="61"/>
      <c r="H4" s="116"/>
    </row>
    <row r="5" spans="1:8">
      <c r="A5"/>
      <c r="B5"/>
      <c r="C5"/>
      <c r="E5" s="61"/>
      <c r="F5" s="61"/>
      <c r="G5" s="61"/>
      <c r="H5" s="116"/>
    </row>
    <row r="6" spans="1:8">
      <c r="A6"/>
      <c r="B6"/>
      <c r="C6"/>
      <c r="E6" s="61"/>
      <c r="F6" s="61"/>
      <c r="G6" s="61"/>
      <c r="H6" s="116"/>
    </row>
    <row r="7" spans="1:8">
      <c r="A7" t="s">
        <v>230</v>
      </c>
      <c r="B7" t="s">
        <v>231</v>
      </c>
      <c r="C7"/>
      <c r="D7" s="114" t="s">
        <v>85</v>
      </c>
      <c r="E7" s="61" t="s">
        <v>232</v>
      </c>
      <c r="F7" s="61" t="s">
        <v>233</v>
      </c>
      <c r="G7" s="61"/>
      <c r="H7" s="116"/>
    </row>
    <row r="8" spans="1:8">
      <c r="A8" t="s">
        <v>220</v>
      </c>
      <c r="B8" t="s">
        <v>228</v>
      </c>
      <c r="C8" s="174">
        <v>559788</v>
      </c>
      <c r="D8" s="373">
        <v>235110.96</v>
      </c>
      <c r="E8" s="374">
        <v>0.36158394992749432</v>
      </c>
      <c r="F8" s="374">
        <f>E8</f>
        <v>0.36158394992749432</v>
      </c>
      <c r="G8" s="61"/>
      <c r="H8" s="116"/>
    </row>
    <row r="9" spans="1:8">
      <c r="A9" t="s">
        <v>222</v>
      </c>
      <c r="B9" t="s">
        <v>228</v>
      </c>
      <c r="C9" s="174">
        <v>401929</v>
      </c>
      <c r="D9" s="373">
        <v>168810.18</v>
      </c>
      <c r="E9" s="374">
        <v>0.25961806149901012</v>
      </c>
      <c r="F9" s="374">
        <f>F8+E9</f>
        <v>0.62120201142650444</v>
      </c>
      <c r="G9" s="61"/>
      <c r="H9" s="116"/>
    </row>
    <row r="10" spans="1:8">
      <c r="A10" t="s">
        <v>221</v>
      </c>
      <c r="B10" s="114" t="s">
        <v>228</v>
      </c>
      <c r="C10" s="174">
        <v>178214</v>
      </c>
      <c r="D10" s="373">
        <v>74849.87999999999</v>
      </c>
      <c r="E10" s="374">
        <v>0.11511379674515794</v>
      </c>
      <c r="F10" s="374">
        <f t="shared" ref="F10:F18" si="0">F9+E10</f>
        <v>0.73631580817166242</v>
      </c>
      <c r="G10" s="61"/>
      <c r="H10" s="115"/>
    </row>
    <row r="11" spans="1:8">
      <c r="A11" t="s">
        <v>223</v>
      </c>
      <c r="B11" s="114" t="s">
        <v>228</v>
      </c>
      <c r="C11" s="174"/>
      <c r="D11" s="373">
        <v>65022.51</v>
      </c>
      <c r="E11" s="374">
        <v>0.1</v>
      </c>
      <c r="F11" s="374">
        <f t="shared" si="0"/>
        <v>0.8363158081716624</v>
      </c>
      <c r="G11" s="61"/>
      <c r="H11" s="115"/>
    </row>
    <row r="12" spans="1:8">
      <c r="A12" t="s">
        <v>224</v>
      </c>
      <c r="B12" s="114" t="s">
        <v>228</v>
      </c>
      <c r="C12" s="174"/>
      <c r="D12" s="373">
        <v>39013.505999999994</v>
      </c>
      <c r="E12" s="374">
        <v>5.9999999999999991E-2</v>
      </c>
      <c r="F12" s="374">
        <f t="shared" si="0"/>
        <v>0.89631580817166234</v>
      </c>
    </row>
    <row r="13" spans="1:8">
      <c r="A13" t="s">
        <v>219</v>
      </c>
      <c r="B13" s="114" t="s">
        <v>229</v>
      </c>
      <c r="C13" s="174"/>
      <c r="D13" s="373">
        <v>32511.255000000001</v>
      </c>
      <c r="E13" s="374">
        <v>0.05</v>
      </c>
      <c r="F13" s="374">
        <f t="shared" si="0"/>
        <v>0.94631580817166239</v>
      </c>
    </row>
    <row r="14" spans="1:8">
      <c r="A14" t="s">
        <v>227</v>
      </c>
      <c r="B14" s="114" t="s">
        <v>228</v>
      </c>
      <c r="C14" s="174"/>
      <c r="D14" s="373">
        <v>19506.752999999997</v>
      </c>
      <c r="E14" s="374">
        <v>2.9999999999999995E-2</v>
      </c>
      <c r="F14" s="374">
        <f t="shared" si="0"/>
        <v>0.97631580817166241</v>
      </c>
    </row>
    <row r="15" spans="1:8">
      <c r="A15" s="114" t="s">
        <v>225</v>
      </c>
      <c r="B15" s="114" t="s">
        <v>228</v>
      </c>
      <c r="C15" s="174"/>
      <c r="D15" s="373">
        <v>6502.2510000000002</v>
      </c>
      <c r="E15" s="374">
        <v>0.01</v>
      </c>
      <c r="F15" s="374">
        <f t="shared" si="0"/>
        <v>0.98631580817166242</v>
      </c>
    </row>
    <row r="16" spans="1:8">
      <c r="A16" s="114" t="s">
        <v>223</v>
      </c>
      <c r="B16" s="114" t="s">
        <v>228</v>
      </c>
      <c r="C16" s="174"/>
      <c r="D16" s="373">
        <v>5201.8008</v>
      </c>
      <c r="E16" s="374">
        <v>8.0000000000000002E-3</v>
      </c>
      <c r="F16" s="374">
        <f t="shared" si="0"/>
        <v>0.99431580817166243</v>
      </c>
    </row>
    <row r="17" spans="1:6">
      <c r="A17" s="114" t="s">
        <v>226</v>
      </c>
      <c r="B17" s="114" t="s">
        <v>228</v>
      </c>
      <c r="C17" s="174"/>
      <c r="D17" s="373">
        <v>3251.1255000000001</v>
      </c>
      <c r="E17" s="374">
        <v>5.0000000000000001E-3</v>
      </c>
      <c r="F17" s="374">
        <f t="shared" si="0"/>
        <v>0.99931580817166243</v>
      </c>
    </row>
    <row r="18" spans="1:6">
      <c r="A18" s="114" t="s">
        <v>218</v>
      </c>
      <c r="B18" s="114" t="s">
        <v>229</v>
      </c>
      <c r="C18" s="174"/>
      <c r="D18" s="373">
        <v>455.15756999999996</v>
      </c>
      <c r="E18" s="374">
        <v>6.9999999999999999E-4</v>
      </c>
      <c r="F18" s="374">
        <f t="shared" si="0"/>
        <v>1.0000158081716624</v>
      </c>
    </row>
    <row r="19" spans="1:6">
      <c r="C19" s="174"/>
      <c r="D19" s="174"/>
    </row>
    <row r="20" spans="1:6">
      <c r="C20" s="174"/>
      <c r="D20" s="174"/>
    </row>
    <row r="21" spans="1:6">
      <c r="C21" s="174"/>
      <c r="D21" s="174"/>
      <c r="E21" s="375"/>
    </row>
  </sheetData>
  <autoFilter ref="A7:E18" xr:uid="{00000000-0001-0000-0A00-000000000000}">
    <sortState xmlns:xlrd2="http://schemas.microsoft.com/office/spreadsheetml/2017/richdata2" ref="A8:E18">
      <sortCondition descending="1" ref="E7:E18"/>
    </sortState>
  </autoFilter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4"/>
  <sheetViews>
    <sheetView tabSelected="1" zoomScale="110" zoomScaleNormal="110" workbookViewId="0">
      <selection activeCell="F2" sqref="F2"/>
    </sheetView>
  </sheetViews>
  <sheetFormatPr defaultColWidth="11.42578125" defaultRowHeight="15"/>
  <cols>
    <col min="1" max="1" width="16.140625" style="121" bestFit="1" customWidth="1"/>
    <col min="2" max="2" width="13.140625" style="121" customWidth="1"/>
    <col min="3" max="3" width="16.42578125" style="121" customWidth="1"/>
    <col min="4" max="4" width="15" style="121" customWidth="1"/>
    <col min="5" max="5" width="9.140625" style="121" bestFit="1" customWidth="1"/>
    <col min="6" max="6" width="14" style="121" customWidth="1"/>
    <col min="7" max="7" width="10.28515625" style="121" bestFit="1" customWidth="1"/>
    <col min="8" max="8" width="12.140625" style="121" customWidth="1"/>
    <col min="9" max="9" width="10.28515625" style="121" bestFit="1" customWidth="1"/>
    <col min="10" max="16384" width="11.42578125" style="121"/>
  </cols>
  <sheetData>
    <row r="1" spans="1:9" ht="45">
      <c r="A1" s="290" t="s">
        <v>0</v>
      </c>
      <c r="B1" s="290" t="s">
        <v>4</v>
      </c>
      <c r="C1" s="290" t="s">
        <v>19</v>
      </c>
      <c r="D1" s="290" t="s">
        <v>50</v>
      </c>
      <c r="E1" s="290" t="s">
        <v>81</v>
      </c>
      <c r="F1" s="290" t="s">
        <v>76</v>
      </c>
      <c r="G1" s="290" t="s">
        <v>20</v>
      </c>
      <c r="H1" s="290" t="s">
        <v>2</v>
      </c>
      <c r="I1" s="290" t="s">
        <v>82</v>
      </c>
    </row>
    <row r="2" spans="1:9">
      <c r="A2" s="155" t="s">
        <v>203</v>
      </c>
      <c r="B2" s="51" t="s">
        <v>209</v>
      </c>
      <c r="C2" s="51" t="s">
        <v>207</v>
      </c>
      <c r="D2" s="51" t="s">
        <v>206</v>
      </c>
      <c r="E2" s="176">
        <v>38</v>
      </c>
      <c r="F2" s="291">
        <v>14</v>
      </c>
      <c r="G2" s="176">
        <v>1</v>
      </c>
      <c r="H2" s="176">
        <v>8</v>
      </c>
      <c r="I2" s="294">
        <v>2</v>
      </c>
    </row>
    <row r="3" spans="1:9">
      <c r="A3" s="155" t="s">
        <v>204</v>
      </c>
      <c r="B3" s="51" t="s">
        <v>209</v>
      </c>
      <c r="C3" s="51" t="s">
        <v>208</v>
      </c>
      <c r="D3" s="51" t="s">
        <v>206</v>
      </c>
      <c r="E3" s="176">
        <v>44</v>
      </c>
      <c r="F3" s="175">
        <v>3.8</v>
      </c>
      <c r="G3" s="176">
        <v>1</v>
      </c>
      <c r="H3" s="175">
        <v>8</v>
      </c>
      <c r="I3" s="294">
        <v>2.1</v>
      </c>
    </row>
    <row r="4" spans="1:9">
      <c r="A4" s="220" t="s">
        <v>205</v>
      </c>
      <c r="B4" s="51" t="s">
        <v>209</v>
      </c>
      <c r="C4" s="220" t="s">
        <v>208</v>
      </c>
      <c r="D4" s="220" t="s">
        <v>206</v>
      </c>
      <c r="E4" s="291">
        <v>44</v>
      </c>
      <c r="F4" s="293">
        <v>3.8</v>
      </c>
      <c r="G4" s="291">
        <v>1</v>
      </c>
      <c r="H4" s="291">
        <v>8</v>
      </c>
      <c r="I4" s="294">
        <v>0.5</v>
      </c>
    </row>
  </sheetData>
  <dataValidations count="1">
    <dataValidation type="list" allowBlank="1" showInputMessage="1" showErrorMessage="1" sqref="B2:B4" xr:uid="{00000000-0002-0000-0B00-000000000000}">
      <formula1>Termico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4"/>
  <sheetViews>
    <sheetView zoomScale="80" zoomScaleNormal="80" workbookViewId="0">
      <selection activeCell="D11" sqref="D11"/>
    </sheetView>
  </sheetViews>
  <sheetFormatPr defaultColWidth="11.42578125" defaultRowHeight="15"/>
  <cols>
    <col min="1" max="1" width="24" style="121" customWidth="1"/>
    <col min="2" max="2" width="22.85546875" style="121" customWidth="1"/>
    <col min="3" max="3" width="14" style="121" customWidth="1"/>
    <col min="4" max="4" width="17.28515625" style="121" customWidth="1"/>
    <col min="5" max="5" width="26.42578125" style="121" customWidth="1"/>
    <col min="6" max="16384" width="11.42578125" style="121"/>
  </cols>
  <sheetData>
    <row r="1" spans="1:5" ht="29.25" customHeight="1">
      <c r="A1" s="134" t="s">
        <v>0</v>
      </c>
      <c r="B1" s="134" t="s">
        <v>19</v>
      </c>
      <c r="C1" s="134" t="s">
        <v>1</v>
      </c>
      <c r="D1" s="134" t="s">
        <v>20</v>
      </c>
      <c r="E1" s="134" t="s">
        <v>2</v>
      </c>
    </row>
    <row r="2" spans="1:5">
      <c r="A2" s="155" t="s">
        <v>77</v>
      </c>
      <c r="B2" s="51" t="s">
        <v>80</v>
      </c>
      <c r="C2" s="51"/>
      <c r="D2" s="175">
        <v>1</v>
      </c>
      <c r="E2" s="175">
        <v>8</v>
      </c>
    </row>
    <row r="3" spans="1:5">
      <c r="A3" s="155" t="s">
        <v>78</v>
      </c>
      <c r="B3" s="51" t="s">
        <v>80</v>
      </c>
      <c r="C3" s="51"/>
      <c r="D3" s="175">
        <v>1</v>
      </c>
      <c r="E3" s="175">
        <v>8</v>
      </c>
    </row>
    <row r="4" spans="1:5">
      <c r="A4" s="155" t="s">
        <v>79</v>
      </c>
      <c r="B4" s="51" t="s">
        <v>80</v>
      </c>
      <c r="C4" s="51"/>
      <c r="D4" s="175">
        <v>1</v>
      </c>
      <c r="E4" s="175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7"/>
  <sheetViews>
    <sheetView zoomScale="80" zoomScaleNormal="80" workbookViewId="0">
      <selection activeCell="E21" sqref="E21"/>
    </sheetView>
  </sheetViews>
  <sheetFormatPr defaultColWidth="11.42578125" defaultRowHeight="12.75"/>
  <cols>
    <col min="1" max="1" width="28" style="151" customWidth="1"/>
    <col min="2" max="2" width="18.28515625" style="151" customWidth="1"/>
    <col min="3" max="3" width="10.28515625" style="151" customWidth="1"/>
    <col min="4" max="4" width="22.28515625" style="151" customWidth="1"/>
    <col min="5" max="5" width="11.140625" style="151" customWidth="1"/>
    <col min="6" max="6" width="22.42578125" style="151" customWidth="1"/>
    <col min="7" max="7" width="28.85546875" style="151" customWidth="1"/>
    <col min="8" max="8" width="7.85546875" style="151" customWidth="1"/>
    <col min="9" max="9" width="8.5703125" style="151" customWidth="1"/>
    <col min="10" max="10" width="7.5703125" style="151" customWidth="1"/>
    <col min="11" max="11" width="7.140625" style="151" customWidth="1"/>
    <col min="12" max="12" width="6.28515625" style="151" customWidth="1"/>
    <col min="13" max="13" width="9.85546875" style="151" customWidth="1"/>
    <col min="14" max="14" width="8.5703125" style="151" customWidth="1"/>
    <col min="15" max="15" width="8" style="151" customWidth="1"/>
    <col min="16" max="16384" width="11.42578125" style="151"/>
  </cols>
  <sheetData>
    <row r="1" spans="1:15" ht="15.75" customHeight="1">
      <c r="A1" s="308" t="s">
        <v>94</v>
      </c>
      <c r="B1" s="308"/>
      <c r="C1" s="308"/>
      <c r="D1" s="308"/>
      <c r="E1" s="308"/>
      <c r="F1" s="308"/>
    </row>
    <row r="2" spans="1:15" ht="15.75" customHeight="1">
      <c r="A2" s="158" t="s">
        <v>146</v>
      </c>
      <c r="B2" s="309"/>
      <c r="C2" s="309"/>
      <c r="D2" s="309"/>
      <c r="E2" s="158" t="s">
        <v>129</v>
      </c>
      <c r="F2" s="113"/>
    </row>
    <row r="3" spans="1:15">
      <c r="A3" s="158" t="s">
        <v>147</v>
      </c>
      <c r="B3" s="159" t="s">
        <v>130</v>
      </c>
      <c r="C3" s="171">
        <v>2392</v>
      </c>
      <c r="D3" s="309" t="s">
        <v>131</v>
      </c>
      <c r="E3" s="309"/>
      <c r="F3" s="309"/>
    </row>
    <row r="4" spans="1:15" ht="30.75" customHeight="1">
      <c r="A4" s="158" t="s">
        <v>148</v>
      </c>
      <c r="B4" s="112"/>
      <c r="C4" s="158" t="s">
        <v>152</v>
      </c>
      <c r="D4" s="113"/>
      <c r="E4" s="158" t="s">
        <v>153</v>
      </c>
      <c r="F4" s="171"/>
    </row>
    <row r="5" spans="1:15">
      <c r="A5" s="158" t="s">
        <v>149</v>
      </c>
      <c r="B5" s="309"/>
      <c r="C5" s="309"/>
      <c r="D5" s="158" t="s">
        <v>154</v>
      </c>
      <c r="E5" s="309"/>
      <c r="F5" s="309"/>
    </row>
    <row r="6" spans="1:15">
      <c r="A6" s="310" t="s">
        <v>150</v>
      </c>
      <c r="B6" s="309"/>
      <c r="C6" s="309"/>
      <c r="D6" s="309"/>
      <c r="E6" s="158" t="s">
        <v>132</v>
      </c>
      <c r="F6" s="113"/>
    </row>
    <row r="7" spans="1:15">
      <c r="A7" s="310"/>
      <c r="B7" s="309"/>
      <c r="C7" s="309"/>
      <c r="D7" s="309"/>
      <c r="E7" s="158" t="s">
        <v>132</v>
      </c>
      <c r="F7" s="113"/>
    </row>
    <row r="8" spans="1:15">
      <c r="A8" s="160" t="s">
        <v>151</v>
      </c>
      <c r="B8" s="306"/>
      <c r="C8" s="307"/>
      <c r="D8" s="160" t="s">
        <v>155</v>
      </c>
      <c r="E8" s="306"/>
      <c r="F8" s="307"/>
    </row>
    <row r="11" spans="1:15">
      <c r="G11" s="311" t="s">
        <v>133</v>
      </c>
      <c r="H11" s="311"/>
      <c r="I11" s="311"/>
      <c r="J11" s="311"/>
      <c r="K11" s="311"/>
      <c r="L11" s="311"/>
      <c r="M11" s="311"/>
      <c r="N11" s="311"/>
      <c r="O11" s="311"/>
    </row>
    <row r="12" spans="1:15">
      <c r="G12" s="161" t="s">
        <v>134</v>
      </c>
      <c r="H12" s="171"/>
      <c r="I12" s="312" t="s">
        <v>145</v>
      </c>
      <c r="J12" s="312"/>
      <c r="K12" s="312"/>
      <c r="L12" s="312"/>
      <c r="M12" s="312"/>
      <c r="N12" s="313"/>
      <c r="O12" s="314"/>
    </row>
    <row r="13" spans="1:15">
      <c r="G13" s="162" t="s">
        <v>135</v>
      </c>
      <c r="H13" s="315"/>
      <c r="I13" s="315"/>
      <c r="J13" s="163" t="s">
        <v>137</v>
      </c>
      <c r="K13" s="163" t="s">
        <v>138</v>
      </c>
      <c r="L13" s="315"/>
      <c r="M13" s="315"/>
      <c r="N13" s="163" t="s">
        <v>137</v>
      </c>
      <c r="O13" s="163" t="s">
        <v>138</v>
      </c>
    </row>
    <row r="14" spans="1:15">
      <c r="G14" s="162" t="s">
        <v>140</v>
      </c>
      <c r="H14" s="163" t="s">
        <v>136</v>
      </c>
      <c r="I14" s="164">
        <v>0.25</v>
      </c>
      <c r="J14" s="112" t="s">
        <v>141</v>
      </c>
      <c r="K14" s="163"/>
      <c r="L14" s="163" t="s">
        <v>139</v>
      </c>
      <c r="M14" s="164">
        <v>0.58333333333333337</v>
      </c>
      <c r="N14" s="163"/>
      <c r="O14" s="112" t="s">
        <v>141</v>
      </c>
    </row>
    <row r="15" spans="1:15">
      <c r="G15" s="162" t="s">
        <v>142</v>
      </c>
      <c r="H15" s="163" t="s">
        <v>136</v>
      </c>
      <c r="I15" s="164"/>
      <c r="J15" s="163"/>
      <c r="K15" s="112"/>
      <c r="L15" s="163"/>
      <c r="M15" s="164"/>
      <c r="N15" s="163"/>
      <c r="O15" s="112"/>
    </row>
    <row r="16" spans="1:15">
      <c r="G16" s="162" t="s">
        <v>143</v>
      </c>
      <c r="H16" s="163" t="s">
        <v>136</v>
      </c>
      <c r="I16" s="164"/>
      <c r="J16" s="163"/>
      <c r="K16" s="112"/>
      <c r="L16" s="163"/>
      <c r="M16" s="164"/>
      <c r="N16" s="112"/>
      <c r="O16" s="177"/>
    </row>
    <row r="17" spans="7:15">
      <c r="G17" s="162" t="s">
        <v>144</v>
      </c>
      <c r="H17" s="163" t="s">
        <v>136</v>
      </c>
      <c r="I17" s="164"/>
      <c r="J17" s="112"/>
      <c r="K17" s="177"/>
      <c r="L17" s="163"/>
      <c r="M17" s="164"/>
      <c r="N17" s="163"/>
      <c r="O17" s="112"/>
    </row>
  </sheetData>
  <mergeCells count="15">
    <mergeCell ref="G11:O11"/>
    <mergeCell ref="I12:M12"/>
    <mergeCell ref="N12:O12"/>
    <mergeCell ref="H13:I13"/>
    <mergeCell ref="L13:M13"/>
    <mergeCell ref="B8:C8"/>
    <mergeCell ref="E8:F8"/>
    <mergeCell ref="A1:F1"/>
    <mergeCell ref="B2:D2"/>
    <mergeCell ref="D3:F3"/>
    <mergeCell ref="B5:C5"/>
    <mergeCell ref="E5:F5"/>
    <mergeCell ref="A6:A7"/>
    <mergeCell ref="B6:D6"/>
    <mergeCell ref="B7:D7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53"/>
  <sheetViews>
    <sheetView topLeftCell="A46" zoomScaleNormal="100" workbookViewId="0">
      <selection activeCell="A56" activeCellId="1" sqref="A51 A56"/>
    </sheetView>
  </sheetViews>
  <sheetFormatPr defaultColWidth="11.42578125" defaultRowHeight="15"/>
  <cols>
    <col min="1" max="1" width="20.5703125" style="68" customWidth="1"/>
    <col min="2" max="2" width="28.85546875" style="68" customWidth="1"/>
    <col min="3" max="3" width="14.42578125" style="68" customWidth="1"/>
    <col min="4" max="4" width="13" style="68" customWidth="1"/>
    <col min="5" max="16384" width="11.42578125" style="67"/>
  </cols>
  <sheetData>
    <row r="1" spans="1:5" s="157" customFormat="1">
      <c r="A1" s="156"/>
      <c r="B1" s="156"/>
      <c r="C1" s="156"/>
      <c r="D1" s="156"/>
    </row>
    <row r="2" spans="1:5" s="157" customFormat="1">
      <c r="A2" s="156"/>
      <c r="B2" s="156"/>
      <c r="C2" s="156"/>
      <c r="D2" s="156"/>
    </row>
    <row r="3" spans="1:5" s="157" customFormat="1">
      <c r="A3" s="156"/>
      <c r="B3" s="156"/>
      <c r="C3" s="156"/>
      <c r="D3" s="156"/>
      <c r="E3" s="69"/>
    </row>
    <row r="4" spans="1:5" s="157" customFormat="1">
      <c r="A4" s="156"/>
      <c r="B4" s="156"/>
      <c r="C4" s="156"/>
      <c r="D4" s="156"/>
      <c r="E4" s="69"/>
    </row>
    <row r="5" spans="1:5" s="157" customFormat="1">
      <c r="A5" s="156"/>
      <c r="B5" s="156"/>
      <c r="C5" s="156"/>
      <c r="D5" s="156"/>
      <c r="E5" s="69"/>
    </row>
    <row r="6" spans="1:5" s="157" customFormat="1">
      <c r="A6" s="156"/>
      <c r="B6" s="156"/>
      <c r="C6" s="156"/>
      <c r="D6" s="156"/>
      <c r="E6" s="69"/>
    </row>
    <row r="7" spans="1:5" s="157" customFormat="1">
      <c r="A7" s="156"/>
      <c r="B7" s="156"/>
      <c r="C7" s="156"/>
      <c r="D7" s="156"/>
      <c r="E7" s="69"/>
    </row>
    <row r="8" spans="1:5" s="157" customFormat="1">
      <c r="A8" s="156"/>
      <c r="B8" s="156"/>
      <c r="C8" s="156"/>
      <c r="D8" s="156"/>
      <c r="E8" s="69"/>
    </row>
    <row r="9" spans="1:5" s="157" customFormat="1">
      <c r="A9" s="156"/>
      <c r="B9" s="156"/>
      <c r="C9" s="156"/>
      <c r="D9" s="156"/>
      <c r="E9" s="69"/>
    </row>
    <row r="10" spans="1:5" s="157" customFormat="1">
      <c r="A10" s="156"/>
      <c r="B10" s="156"/>
      <c r="C10" s="156"/>
      <c r="D10" s="156"/>
      <c r="E10" s="69"/>
    </row>
    <row r="11" spans="1:5" s="157" customFormat="1">
      <c r="A11" s="156"/>
      <c r="B11" s="156"/>
      <c r="C11" s="156"/>
      <c r="D11" s="156"/>
      <c r="E11" s="69"/>
    </row>
    <row r="12" spans="1:5" s="157" customFormat="1">
      <c r="A12" s="156"/>
      <c r="B12" s="156"/>
      <c r="C12" s="156"/>
      <c r="D12" s="156"/>
      <c r="E12" s="69"/>
    </row>
    <row r="13" spans="1:5" s="157" customFormat="1">
      <c r="A13" s="156"/>
      <c r="B13" s="156"/>
      <c r="C13" s="156"/>
      <c r="D13" s="156"/>
      <c r="E13" s="69"/>
    </row>
    <row r="14" spans="1:5" s="157" customFormat="1">
      <c r="A14" s="156"/>
      <c r="B14" s="156"/>
      <c r="C14" s="156"/>
      <c r="D14" s="156"/>
      <c r="E14" s="69"/>
    </row>
    <row r="15" spans="1:5" s="157" customFormat="1">
      <c r="A15" s="156"/>
      <c r="B15" s="156"/>
      <c r="C15" s="156"/>
      <c r="D15" s="156"/>
      <c r="E15" s="69"/>
    </row>
    <row r="16" spans="1:5" s="157" customFormat="1">
      <c r="A16" s="156"/>
      <c r="B16" s="156"/>
      <c r="C16" s="156"/>
      <c r="D16" s="156"/>
      <c r="E16" s="69"/>
    </row>
    <row r="17" spans="1:5" s="157" customFormat="1">
      <c r="A17" s="156"/>
      <c r="B17" s="156"/>
      <c r="C17" s="156"/>
      <c r="D17" s="156"/>
      <c r="E17" s="69"/>
    </row>
    <row r="18" spans="1:5" s="157" customFormat="1">
      <c r="A18" s="156"/>
      <c r="B18" s="156"/>
      <c r="C18" s="156"/>
      <c r="D18" s="156"/>
      <c r="E18" s="69"/>
    </row>
    <row r="19" spans="1:5" s="157" customFormat="1">
      <c r="A19" s="156"/>
      <c r="B19" s="156"/>
      <c r="C19" s="156"/>
      <c r="D19" s="156"/>
      <c r="E19" s="69"/>
    </row>
    <row r="20" spans="1:5" s="157" customFormat="1">
      <c r="A20" s="156"/>
      <c r="B20" s="156"/>
      <c r="C20" s="156"/>
      <c r="D20" s="156"/>
      <c r="E20" s="69"/>
    </row>
    <row r="21" spans="1:5" s="157" customFormat="1">
      <c r="A21" s="156"/>
      <c r="B21" s="156"/>
      <c r="C21" s="156"/>
      <c r="D21" s="156"/>
      <c r="E21" s="69"/>
    </row>
    <row r="22" spans="1:5" s="157" customFormat="1">
      <c r="A22" s="156"/>
      <c r="B22" s="156"/>
      <c r="C22" s="156"/>
      <c r="D22" s="156"/>
      <c r="E22" s="69"/>
    </row>
    <row r="23" spans="1:5" s="157" customFormat="1">
      <c r="A23" s="156"/>
      <c r="B23" s="156"/>
      <c r="C23" s="156"/>
      <c r="D23" s="156"/>
      <c r="E23" s="69"/>
    </row>
    <row r="24" spans="1:5" s="157" customFormat="1">
      <c r="A24" s="156"/>
      <c r="B24" s="156"/>
      <c r="C24" s="156"/>
      <c r="D24" s="156"/>
      <c r="E24" s="69"/>
    </row>
    <row r="25" spans="1:5" s="157" customFormat="1">
      <c r="A25" s="156"/>
      <c r="B25" s="156"/>
      <c r="C25" s="156"/>
      <c r="D25" s="156"/>
      <c r="E25" s="69"/>
    </row>
    <row r="26" spans="1:5" s="157" customFormat="1">
      <c r="A26" s="156"/>
      <c r="B26" s="156"/>
      <c r="C26" s="156"/>
      <c r="D26" s="156"/>
      <c r="E26" s="69"/>
    </row>
    <row r="27" spans="1:5" s="157" customFormat="1">
      <c r="A27" s="156"/>
      <c r="B27" s="156"/>
      <c r="C27" s="156"/>
      <c r="D27" s="156"/>
    </row>
    <row r="28" spans="1:5" s="157" customFormat="1">
      <c r="A28" s="156"/>
      <c r="B28" s="156"/>
      <c r="C28" s="156"/>
      <c r="D28" s="156"/>
    </row>
    <row r="29" spans="1:5" s="157" customFormat="1">
      <c r="A29" s="156"/>
      <c r="B29" s="156"/>
      <c r="C29" s="156"/>
      <c r="D29" s="156"/>
    </row>
    <row r="30" spans="1:5" s="157" customFormat="1">
      <c r="A30" s="156"/>
      <c r="B30" s="156"/>
      <c r="C30" s="156"/>
      <c r="D30" s="156"/>
    </row>
    <row r="31" spans="1:5" s="157" customFormat="1">
      <c r="A31" s="156"/>
      <c r="B31" s="156"/>
      <c r="C31" s="156"/>
      <c r="D31" s="156"/>
    </row>
    <row r="32" spans="1:5" s="157" customFormat="1">
      <c r="A32" s="156"/>
      <c r="B32" s="156"/>
      <c r="C32" s="156"/>
      <c r="D32" s="156"/>
    </row>
    <row r="33" spans="1:4" s="157" customFormat="1">
      <c r="A33" s="156"/>
      <c r="B33" s="156"/>
      <c r="C33" s="156"/>
      <c r="D33" s="156"/>
    </row>
    <row r="34" spans="1:4" s="157" customFormat="1">
      <c r="A34" s="156"/>
      <c r="B34" s="156"/>
      <c r="C34" s="156"/>
      <c r="D34" s="156"/>
    </row>
    <row r="35" spans="1:4" s="157" customFormat="1">
      <c r="A35" s="156"/>
      <c r="B35" s="156"/>
      <c r="C35" s="156"/>
      <c r="D35" s="156"/>
    </row>
    <row r="36" spans="1:4" s="157" customFormat="1">
      <c r="A36" s="156"/>
      <c r="B36" s="156"/>
      <c r="C36" s="156"/>
      <c r="D36" s="156"/>
    </row>
    <row r="37" spans="1:4" s="157" customFormat="1">
      <c r="A37" s="156"/>
      <c r="B37" s="156"/>
      <c r="C37" s="156"/>
      <c r="D37" s="156"/>
    </row>
    <row r="38" spans="1:4" s="157" customFormat="1">
      <c r="A38" s="156"/>
      <c r="B38" s="156"/>
      <c r="C38" s="156"/>
      <c r="D38" s="156"/>
    </row>
    <row r="39" spans="1:4" s="157" customFormat="1">
      <c r="A39" s="156"/>
      <c r="B39" s="156"/>
      <c r="C39" s="156"/>
      <c r="D39" s="156"/>
    </row>
    <row r="40" spans="1:4" s="157" customFormat="1">
      <c r="A40" s="156"/>
      <c r="B40" s="156"/>
      <c r="C40" s="156"/>
      <c r="D40" s="156"/>
    </row>
    <row r="41" spans="1:4" s="157" customFormat="1">
      <c r="A41" s="156"/>
      <c r="B41" s="156"/>
      <c r="C41" s="156"/>
      <c r="D41" s="156"/>
    </row>
    <row r="42" spans="1:4" s="157" customFormat="1">
      <c r="A42" s="156"/>
      <c r="B42" s="156"/>
      <c r="C42" s="156"/>
      <c r="D42" s="156"/>
    </row>
    <row r="43" spans="1:4" s="157" customFormat="1">
      <c r="A43" s="156"/>
      <c r="B43" s="156"/>
      <c r="C43" s="156"/>
      <c r="D43" s="156"/>
    </row>
    <row r="44" spans="1:4" s="157" customFormat="1">
      <c r="A44" s="156"/>
      <c r="B44" s="156"/>
      <c r="C44" s="156"/>
      <c r="D44" s="156"/>
    </row>
    <row r="45" spans="1:4" s="157" customFormat="1">
      <c r="A45" s="156"/>
      <c r="B45" s="156"/>
      <c r="C45" s="156"/>
      <c r="D45" s="156"/>
    </row>
    <row r="46" spans="1:4" s="157" customFormat="1">
      <c r="A46" s="156"/>
      <c r="B46" s="156"/>
      <c r="C46" s="156"/>
      <c r="D46" s="156"/>
    </row>
    <row r="47" spans="1:4" s="157" customFormat="1">
      <c r="A47" s="156"/>
      <c r="B47" s="156"/>
      <c r="C47" s="156"/>
      <c r="D47" s="156"/>
    </row>
    <row r="48" spans="1:4" s="157" customFormat="1">
      <c r="A48" s="156"/>
      <c r="B48" s="156"/>
      <c r="C48" s="156"/>
      <c r="D48" s="156"/>
    </row>
    <row r="49" spans="1:4" s="157" customFormat="1">
      <c r="A49" s="156"/>
      <c r="B49" s="156"/>
      <c r="C49" s="156"/>
      <c r="D49" s="156"/>
    </row>
    <row r="50" spans="1:4" s="157" customFormat="1">
      <c r="A50" s="156"/>
      <c r="B50" s="156"/>
      <c r="C50" s="156"/>
      <c r="D50" s="156"/>
    </row>
    <row r="51" spans="1:4" s="157" customFormat="1">
      <c r="A51" s="156"/>
      <c r="B51" s="156"/>
      <c r="C51" s="156"/>
      <c r="D51" s="156"/>
    </row>
    <row r="52" spans="1:4" s="157" customFormat="1">
      <c r="A52" s="156"/>
      <c r="B52" s="156"/>
      <c r="C52" s="156"/>
      <c r="D52" s="156"/>
    </row>
    <row r="53" spans="1:4" s="157" customFormat="1">
      <c r="A53" s="156"/>
      <c r="B53" s="156"/>
      <c r="C53" s="156"/>
      <c r="D53" s="156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P150"/>
  <sheetViews>
    <sheetView zoomScale="70" zoomScaleNormal="70" workbookViewId="0">
      <selection activeCell="F29" sqref="F29"/>
    </sheetView>
  </sheetViews>
  <sheetFormatPr defaultColWidth="11.42578125" defaultRowHeight="15"/>
  <cols>
    <col min="1" max="1" width="4.140625" customWidth="1"/>
    <col min="2" max="2" width="15.85546875" customWidth="1"/>
    <col min="3" max="4" width="15.85546875" style="114" customWidth="1"/>
    <col min="5" max="5" width="17.7109375" style="114" customWidth="1"/>
    <col min="6" max="6" width="19.140625" customWidth="1"/>
    <col min="7" max="9" width="19.140625" style="114" customWidth="1"/>
    <col min="10" max="10" width="13" customWidth="1"/>
    <col min="11" max="11" width="21" customWidth="1"/>
    <col min="12" max="12" width="16.5703125" customWidth="1"/>
    <col min="13" max="13" width="20" customWidth="1"/>
    <col min="14" max="14" width="28.28515625" customWidth="1"/>
    <col min="15" max="15" width="19.7109375" customWidth="1"/>
    <col min="16" max="16" width="16.85546875" customWidth="1"/>
    <col min="17" max="17" width="14.42578125" customWidth="1"/>
    <col min="18" max="18" width="15" customWidth="1"/>
  </cols>
  <sheetData>
    <row r="2" spans="1:15" ht="15" customHeight="1">
      <c r="B2" s="336" t="s">
        <v>109</v>
      </c>
      <c r="C2" s="336"/>
      <c r="D2" s="336"/>
      <c r="E2" s="336"/>
      <c r="F2" s="336"/>
      <c r="G2" s="336"/>
      <c r="H2" s="336"/>
      <c r="I2" s="336"/>
      <c r="J2" s="336"/>
      <c r="K2" s="336"/>
      <c r="L2" s="336"/>
      <c r="M2" s="336"/>
      <c r="N2" s="32"/>
      <c r="O2" s="32"/>
    </row>
    <row r="3" spans="1:15" s="75" customFormat="1">
      <c r="B3" s="25" t="s">
        <v>5</v>
      </c>
      <c r="C3" s="229" t="s">
        <v>183</v>
      </c>
      <c r="D3" s="229" t="s">
        <v>184</v>
      </c>
      <c r="E3" s="229" t="s">
        <v>185</v>
      </c>
      <c r="F3" s="78" t="s">
        <v>26</v>
      </c>
      <c r="G3" s="229" t="s">
        <v>186</v>
      </c>
      <c r="H3" s="229" t="s">
        <v>187</v>
      </c>
      <c r="I3" s="229" t="s">
        <v>188</v>
      </c>
      <c r="J3" s="63" t="s">
        <v>97</v>
      </c>
      <c r="K3" s="25" t="s">
        <v>96</v>
      </c>
      <c r="L3" s="337" t="s">
        <v>32</v>
      </c>
      <c r="M3" s="337"/>
      <c r="N3" s="77"/>
      <c r="O3" s="77"/>
    </row>
    <row r="4" spans="1:15">
      <c r="B4" s="186" t="s">
        <v>170</v>
      </c>
      <c r="C4" s="185">
        <v>346329.95</v>
      </c>
      <c r="D4" s="185">
        <v>298507.5</v>
      </c>
      <c r="E4" s="185">
        <v>3107</v>
      </c>
      <c r="F4" s="185">
        <f>C4+D4</f>
        <v>644837.44999999995</v>
      </c>
      <c r="G4" s="234">
        <f>125571428/C4</f>
        <v>362.57744385087108</v>
      </c>
      <c r="H4" s="234">
        <v>362.57744385087108</v>
      </c>
      <c r="I4" s="234">
        <v>504.77859999999998</v>
      </c>
      <c r="J4" s="234">
        <f>G4+H4+I4</f>
        <v>1229.9334877017423</v>
      </c>
      <c r="K4" s="235">
        <f>(C4*G4)+(D4*H4)+(E4*I4)</f>
        <v>235371861.43051386</v>
      </c>
      <c r="L4" s="82" t="s">
        <v>99</v>
      </c>
      <c r="M4" s="83" t="s">
        <v>100</v>
      </c>
      <c r="N4" s="31"/>
      <c r="O4" s="29"/>
    </row>
    <row r="5" spans="1:15">
      <c r="B5" s="186" t="s">
        <v>171</v>
      </c>
      <c r="C5" s="185">
        <v>361210.91</v>
      </c>
      <c r="D5" s="185">
        <v>311828.09999999998</v>
      </c>
      <c r="E5" s="185">
        <v>2989</v>
      </c>
      <c r="F5" s="185">
        <f t="shared" ref="F5:F15" si="0">C5+D5</f>
        <v>673039.01</v>
      </c>
      <c r="G5" s="234">
        <f>153656388/C5</f>
        <v>425.39243346774884</v>
      </c>
      <c r="H5" s="234">
        <v>425.39243346774884</v>
      </c>
      <c r="I5" s="234">
        <v>494.6259</v>
      </c>
      <c r="J5" s="234">
        <f t="shared" ref="J5:J15" si="1">G5+H5+I5</f>
        <v>1345.4107669354976</v>
      </c>
      <c r="K5" s="235">
        <f t="shared" ref="K5:K15" si="2">(C5*G5)+(D5*H5)+(E5*I5)</f>
        <v>287784139.09772456</v>
      </c>
      <c r="L5" s="82"/>
      <c r="M5" s="231" t="s">
        <v>182</v>
      </c>
      <c r="N5" s="31"/>
      <c r="O5" s="29"/>
    </row>
    <row r="6" spans="1:15">
      <c r="B6" s="186" t="s">
        <v>172</v>
      </c>
      <c r="C6" s="185">
        <v>394662.22</v>
      </c>
      <c r="D6" s="185">
        <v>347537.7</v>
      </c>
      <c r="E6" s="185">
        <v>3190</v>
      </c>
      <c r="F6" s="185">
        <f t="shared" si="0"/>
        <v>742199.91999999993</v>
      </c>
      <c r="G6" s="234">
        <f>174192708/C6</f>
        <v>441.37163167024198</v>
      </c>
      <c r="H6" s="234">
        <v>441.37163167024198</v>
      </c>
      <c r="I6" s="234">
        <v>528.11950000000002</v>
      </c>
      <c r="J6" s="234">
        <f t="shared" si="1"/>
        <v>1410.862763340484</v>
      </c>
      <c r="K6" s="235">
        <f t="shared" si="2"/>
        <v>329270690.92092305</v>
      </c>
      <c r="L6" s="334"/>
      <c r="M6" s="335"/>
      <c r="N6" s="31"/>
      <c r="O6" s="29"/>
    </row>
    <row r="7" spans="1:15">
      <c r="B7" s="186" t="s">
        <v>173</v>
      </c>
      <c r="C7" s="185">
        <v>286770.03999999998</v>
      </c>
      <c r="D7" s="185">
        <v>223576.79</v>
      </c>
      <c r="E7" s="185">
        <v>3163</v>
      </c>
      <c r="F7" s="185">
        <f t="shared" si="0"/>
        <v>510346.82999999996</v>
      </c>
      <c r="G7" s="234">
        <f>124937698/C7</f>
        <v>435.67207369361182</v>
      </c>
      <c r="H7" s="234">
        <v>435.67207369361182</v>
      </c>
      <c r="I7" s="234">
        <v>531.28819999999996</v>
      </c>
      <c r="J7" s="234">
        <f t="shared" si="1"/>
        <v>1402.6323473872235</v>
      </c>
      <c r="K7" s="235">
        <f t="shared" si="2"/>
        <v>224024326.30566117</v>
      </c>
      <c r="L7" s="334"/>
      <c r="M7" s="335"/>
      <c r="N7" s="31"/>
      <c r="O7" s="29"/>
    </row>
    <row r="8" spans="1:15">
      <c r="B8" s="186" t="s">
        <v>174</v>
      </c>
      <c r="C8" s="185">
        <v>323731.78999999998</v>
      </c>
      <c r="D8" s="185">
        <v>265685.40000000002</v>
      </c>
      <c r="E8" s="185">
        <v>3429</v>
      </c>
      <c r="F8" s="185">
        <f t="shared" si="0"/>
        <v>589417.18999999994</v>
      </c>
      <c r="G8" s="234">
        <f>141615848/C8</f>
        <v>437.44807391328487</v>
      </c>
      <c r="H8" s="234">
        <v>437.44807391328487</v>
      </c>
      <c r="I8" s="234">
        <v>534.47590000000002</v>
      </c>
      <c r="J8" s="234">
        <f t="shared" si="1"/>
        <v>1409.3720478265698</v>
      </c>
      <c r="K8" s="235">
        <f t="shared" si="2"/>
        <v>259672132.35798064</v>
      </c>
      <c r="L8" s="334"/>
      <c r="M8" s="335"/>
      <c r="N8" s="31"/>
      <c r="O8" s="29"/>
    </row>
    <row r="9" spans="1:15">
      <c r="B9" s="186" t="s">
        <v>175</v>
      </c>
      <c r="C9" s="185">
        <v>251098.54</v>
      </c>
      <c r="D9" s="185">
        <v>165594.29999999999</v>
      </c>
      <c r="E9" s="185">
        <v>2891</v>
      </c>
      <c r="F9" s="185">
        <f t="shared" si="0"/>
        <v>416692.83999999997</v>
      </c>
      <c r="G9" s="234">
        <f>118909358/C9</f>
        <v>473.55654875571958</v>
      </c>
      <c r="H9" s="234">
        <v>473.55654875571958</v>
      </c>
      <c r="I9" s="234">
        <v>537.68280000000004</v>
      </c>
      <c r="J9" s="234">
        <f t="shared" si="1"/>
        <v>1484.7958975114393</v>
      </c>
      <c r="K9" s="235">
        <f t="shared" si="2"/>
        <v>198882064.17641926</v>
      </c>
      <c r="L9" s="334"/>
      <c r="M9" s="335"/>
      <c r="N9" s="31"/>
      <c r="O9" s="29"/>
    </row>
    <row r="10" spans="1:15">
      <c r="B10" s="186" t="s">
        <v>176</v>
      </c>
      <c r="C10" s="185">
        <v>361730.52</v>
      </c>
      <c r="D10" s="185">
        <v>297365.7</v>
      </c>
      <c r="E10" s="185">
        <v>2904</v>
      </c>
      <c r="F10" s="185">
        <f t="shared" si="0"/>
        <v>659096.22</v>
      </c>
      <c r="G10" s="234">
        <f>166891818/C10</f>
        <v>461.37057497940731</v>
      </c>
      <c r="H10" s="234">
        <v>461.37057497940731</v>
      </c>
      <c r="I10" s="234">
        <v>540.90890000000002</v>
      </c>
      <c r="J10" s="234">
        <f t="shared" si="1"/>
        <v>1463.6500499588146</v>
      </c>
      <c r="K10" s="235">
        <f t="shared" si="2"/>
        <v>305658401.43375391</v>
      </c>
      <c r="L10" s="334"/>
      <c r="M10" s="335"/>
      <c r="N10" s="31"/>
      <c r="O10" s="29"/>
    </row>
    <row r="11" spans="1:15">
      <c r="A11" s="21"/>
      <c r="B11" s="186" t="s">
        <v>177</v>
      </c>
      <c r="C11" s="185">
        <v>373532.73</v>
      </c>
      <c r="D11" s="185">
        <v>279454.76</v>
      </c>
      <c r="E11" s="185">
        <v>4570</v>
      </c>
      <c r="F11" s="185">
        <f t="shared" si="0"/>
        <v>652987.49</v>
      </c>
      <c r="G11" s="234">
        <f>169735868/C11</f>
        <v>454.40694848882453</v>
      </c>
      <c r="H11" s="234">
        <v>454.40694848882453</v>
      </c>
      <c r="I11" s="234">
        <v>544.15440000000001</v>
      </c>
      <c r="J11" s="234">
        <f t="shared" si="1"/>
        <v>1452.9682969776491</v>
      </c>
      <c r="K11" s="235">
        <f t="shared" si="2"/>
        <v>299208838.34027678</v>
      </c>
      <c r="L11" s="334"/>
      <c r="M11" s="335"/>
      <c r="N11" s="31"/>
      <c r="O11" s="29"/>
    </row>
    <row r="12" spans="1:15">
      <c r="B12" s="186" t="s">
        <v>178</v>
      </c>
      <c r="C12" s="185">
        <v>393507.05</v>
      </c>
      <c r="D12" s="185">
        <v>298819.34000000003</v>
      </c>
      <c r="E12" s="185">
        <v>4672</v>
      </c>
      <c r="F12" s="185">
        <f t="shared" si="0"/>
        <v>692326.39</v>
      </c>
      <c r="G12" s="234">
        <f>348140856/C12</f>
        <v>884.71313538092909</v>
      </c>
      <c r="H12" s="234">
        <v>884.71313538092909</v>
      </c>
      <c r="I12" s="234">
        <v>547.41930000000002</v>
      </c>
      <c r="J12" s="234">
        <f t="shared" si="1"/>
        <v>2316.8455707618582</v>
      </c>
      <c r="K12" s="235">
        <f t="shared" si="2"/>
        <v>615067794.17345989</v>
      </c>
      <c r="L12" s="334"/>
      <c r="M12" s="335"/>
      <c r="N12" s="31"/>
      <c r="O12" s="29"/>
    </row>
    <row r="13" spans="1:15">
      <c r="B13" s="186" t="s">
        <v>179</v>
      </c>
      <c r="C13" s="185">
        <v>417233.13</v>
      </c>
      <c r="D13" s="185">
        <v>363424.75</v>
      </c>
      <c r="E13" s="185">
        <v>4390</v>
      </c>
      <c r="F13" s="185">
        <f t="shared" si="0"/>
        <v>780657.88</v>
      </c>
      <c r="G13" s="234">
        <f>363872279/C13</f>
        <v>872.10782854180343</v>
      </c>
      <c r="H13" s="234">
        <v>872.10782854180343</v>
      </c>
      <c r="I13" s="234">
        <v>558.36770000000001</v>
      </c>
      <c r="J13" s="234">
        <f t="shared" si="1"/>
        <v>2302.5833570836066</v>
      </c>
      <c r="K13" s="235">
        <f t="shared" si="2"/>
        <v>683269082.76384771</v>
      </c>
      <c r="L13" s="334"/>
      <c r="M13" s="335"/>
      <c r="N13" s="31"/>
      <c r="O13" s="29"/>
    </row>
    <row r="14" spans="1:15">
      <c r="B14" s="186" t="s">
        <v>180</v>
      </c>
      <c r="C14" s="185">
        <v>398218.04</v>
      </c>
      <c r="D14" s="185">
        <v>339855.53</v>
      </c>
      <c r="E14" s="185">
        <v>4143</v>
      </c>
      <c r="F14" s="185">
        <f t="shared" si="0"/>
        <v>738073.57000000007</v>
      </c>
      <c r="G14" s="234">
        <f>355466684/C14</f>
        <v>892.64334684586368</v>
      </c>
      <c r="H14" s="234">
        <v>892.64334684586368</v>
      </c>
      <c r="I14" s="234">
        <v>569.53510000000006</v>
      </c>
      <c r="J14" s="234">
        <f t="shared" si="1"/>
        <v>2354.8217936917272</v>
      </c>
      <c r="K14" s="235">
        <f t="shared" si="2"/>
        <v>661196045.66257489</v>
      </c>
      <c r="L14" s="334"/>
      <c r="M14" s="335"/>
      <c r="N14" s="31"/>
      <c r="O14" s="29"/>
    </row>
    <row r="15" spans="1:15">
      <c r="B15" s="186" t="s">
        <v>181</v>
      </c>
      <c r="C15" s="185">
        <v>365482.91</v>
      </c>
      <c r="D15" s="185">
        <v>337543.5</v>
      </c>
      <c r="E15" s="185">
        <v>3574</v>
      </c>
      <c r="F15" s="185">
        <f t="shared" si="0"/>
        <v>703026.40999999992</v>
      </c>
      <c r="G15" s="234">
        <f>335797426/C15</f>
        <v>918.77736772972514</v>
      </c>
      <c r="H15" s="234">
        <v>918.77736772972514</v>
      </c>
      <c r="I15" s="234">
        <v>580.92579999999998</v>
      </c>
      <c r="J15" s="234">
        <f t="shared" si="1"/>
        <v>2418.48053545945</v>
      </c>
      <c r="K15" s="235">
        <f t="shared" si="2"/>
        <v>648000983.23347855</v>
      </c>
      <c r="L15" s="334"/>
      <c r="M15" s="335"/>
      <c r="N15" s="31"/>
      <c r="O15" s="29"/>
    </row>
    <row r="16" spans="1:15" hidden="1">
      <c r="B16" s="184"/>
      <c r="C16" s="185"/>
      <c r="D16" s="184"/>
      <c r="E16" s="184"/>
      <c r="F16" s="185"/>
      <c r="G16" s="185"/>
      <c r="H16" s="185"/>
      <c r="I16" s="185"/>
      <c r="J16" s="180"/>
      <c r="K16" s="180"/>
      <c r="L16" s="334"/>
      <c r="M16" s="335"/>
      <c r="N16" s="31"/>
      <c r="O16" s="29"/>
    </row>
    <row r="17" spans="1:15" hidden="1">
      <c r="B17" s="184"/>
      <c r="C17" s="185"/>
      <c r="D17" s="184"/>
      <c r="E17" s="184"/>
      <c r="F17" s="185"/>
      <c r="G17" s="185"/>
      <c r="H17" s="185"/>
      <c r="I17" s="185"/>
      <c r="J17" s="180"/>
      <c r="K17" s="180"/>
      <c r="L17" s="334"/>
      <c r="M17" s="335"/>
      <c r="N17" s="31"/>
      <c r="O17" s="29"/>
    </row>
    <row r="18" spans="1:15" hidden="1">
      <c r="B18" s="184"/>
      <c r="C18" s="184"/>
      <c r="D18" s="184"/>
      <c r="E18" s="232"/>
      <c r="F18" s="185"/>
      <c r="G18" s="185"/>
      <c r="H18" s="185"/>
      <c r="I18" s="185"/>
      <c r="J18" s="180"/>
      <c r="K18" s="180"/>
      <c r="L18" s="334"/>
      <c r="M18" s="335"/>
      <c r="N18" s="31"/>
      <c r="O18" s="29"/>
    </row>
    <row r="19" spans="1:15" hidden="1">
      <c r="B19" s="184"/>
      <c r="C19" s="184"/>
      <c r="D19" s="184"/>
      <c r="E19" s="232"/>
      <c r="F19" s="185"/>
      <c r="G19" s="185"/>
      <c r="H19" s="185"/>
      <c r="I19" s="185"/>
      <c r="J19" s="180"/>
      <c r="K19" s="180"/>
      <c r="L19" s="334"/>
      <c r="M19" s="335"/>
      <c r="N19" s="31"/>
      <c r="O19" s="29"/>
    </row>
    <row r="20" spans="1:15" hidden="1">
      <c r="B20" s="184"/>
      <c r="C20" s="184"/>
      <c r="D20" s="184"/>
      <c r="E20" s="232"/>
      <c r="F20" s="185"/>
      <c r="G20" s="185"/>
      <c r="H20" s="185"/>
      <c r="I20" s="185"/>
      <c r="J20" s="180"/>
      <c r="K20" s="180"/>
      <c r="L20" s="334"/>
      <c r="M20" s="335"/>
      <c r="N20" s="31"/>
      <c r="O20" s="29"/>
    </row>
    <row r="21" spans="1:15" hidden="1">
      <c r="B21" s="184"/>
      <c r="C21" s="184"/>
      <c r="D21" s="184"/>
      <c r="E21" s="233"/>
      <c r="F21" s="185"/>
      <c r="G21" s="185"/>
      <c r="H21" s="185"/>
      <c r="I21" s="185"/>
      <c r="J21" s="180"/>
      <c r="K21" s="180"/>
      <c r="L21" s="334"/>
      <c r="M21" s="335"/>
      <c r="N21" s="31"/>
      <c r="O21" s="29"/>
    </row>
    <row r="22" spans="1:15" hidden="1">
      <c r="B22" s="184"/>
      <c r="C22" s="184"/>
      <c r="D22" s="184"/>
      <c r="E22" s="184"/>
      <c r="F22" s="185"/>
      <c r="G22" s="185"/>
      <c r="H22" s="185"/>
      <c r="I22" s="185"/>
      <c r="J22" s="180"/>
      <c r="K22" s="180"/>
      <c r="L22" s="334"/>
      <c r="M22" s="335"/>
      <c r="N22" s="31"/>
      <c r="O22" s="29"/>
    </row>
    <row r="23" spans="1:15" hidden="1">
      <c r="B23" s="184"/>
      <c r="C23" s="184"/>
      <c r="D23" s="184"/>
      <c r="E23" s="184"/>
      <c r="F23" s="185"/>
      <c r="G23" s="185"/>
      <c r="H23" s="185"/>
      <c r="I23" s="185"/>
      <c r="J23" s="180"/>
      <c r="K23" s="180"/>
      <c r="L23" s="334"/>
      <c r="M23" s="335"/>
      <c r="N23" s="31"/>
      <c r="O23" s="29"/>
    </row>
    <row r="24" spans="1:15" hidden="1">
      <c r="B24" s="184"/>
      <c r="C24" s="184"/>
      <c r="D24" s="184"/>
      <c r="E24" s="184"/>
      <c r="F24" s="185"/>
      <c r="G24" s="185"/>
      <c r="H24" s="185"/>
      <c r="I24" s="185"/>
      <c r="J24" s="180"/>
      <c r="K24" s="180"/>
      <c r="L24" s="334"/>
      <c r="M24" s="335"/>
      <c r="N24" s="31"/>
      <c r="O24" s="29"/>
    </row>
    <row r="25" spans="1:15" hidden="1">
      <c r="B25" s="184"/>
      <c r="C25" s="184"/>
      <c r="D25" s="184"/>
      <c r="E25" s="184"/>
      <c r="F25" s="185"/>
      <c r="G25" s="185"/>
      <c r="H25" s="185"/>
      <c r="I25" s="185"/>
      <c r="J25" s="180"/>
      <c r="K25" s="180"/>
      <c r="L25" s="334"/>
      <c r="M25" s="335"/>
      <c r="N25" s="31"/>
      <c r="O25" s="29"/>
    </row>
    <row r="26" spans="1:15" hidden="1">
      <c r="B26" s="184"/>
      <c r="C26" s="184"/>
      <c r="D26" s="184"/>
      <c r="E26" s="184"/>
      <c r="F26" s="185"/>
      <c r="G26" s="185"/>
      <c r="H26" s="185"/>
      <c r="I26" s="185"/>
      <c r="J26" s="180"/>
      <c r="K26" s="180"/>
      <c r="L26" s="334"/>
      <c r="M26" s="335"/>
      <c r="N26" s="31"/>
      <c r="O26" s="29"/>
    </row>
    <row r="27" spans="1:15" hidden="1">
      <c r="B27" s="184"/>
      <c r="C27" s="184"/>
      <c r="D27" s="184"/>
      <c r="E27" s="184"/>
      <c r="F27" s="185"/>
      <c r="G27" s="185"/>
      <c r="H27" s="185"/>
      <c r="I27" s="185"/>
      <c r="J27" s="180"/>
      <c r="K27" s="180"/>
      <c r="L27" s="334"/>
      <c r="M27" s="335"/>
      <c r="N27" s="31"/>
      <c r="O27" s="29"/>
    </row>
    <row r="28" spans="1:15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30"/>
      <c r="M28" s="29"/>
      <c r="N28" s="31"/>
      <c r="O28" s="29"/>
    </row>
    <row r="29" spans="1:15">
      <c r="B29" s="64" t="s">
        <v>9</v>
      </c>
      <c r="C29" s="66"/>
      <c r="D29" s="66"/>
      <c r="E29" s="66"/>
      <c r="F29" s="60">
        <f>+AVERAGE(F4:F27)</f>
        <v>650225.1</v>
      </c>
      <c r="G29" s="60"/>
      <c r="H29" s="60"/>
      <c r="I29" s="60"/>
      <c r="J29" s="60"/>
      <c r="K29" s="71">
        <f>+AVERAGE(K4:K27)</f>
        <v>395617196.65805119</v>
      </c>
    </row>
    <row r="30" spans="1:15">
      <c r="B30" s="64" t="s">
        <v>23</v>
      </c>
      <c r="C30" s="66"/>
      <c r="D30" s="66"/>
      <c r="E30" s="66"/>
      <c r="F30" s="60">
        <f>+MAX(F4:F27)</f>
        <v>780657.88</v>
      </c>
      <c r="G30" s="60"/>
      <c r="H30" s="60"/>
      <c r="I30" s="60"/>
      <c r="J30" s="60"/>
      <c r="K30" s="71">
        <f>+MAX(K4:K27)</f>
        <v>683269082.76384771</v>
      </c>
    </row>
    <row r="31" spans="1:15">
      <c r="B31" s="64" t="s">
        <v>24</v>
      </c>
      <c r="C31" s="66"/>
      <c r="D31" s="66"/>
      <c r="E31" s="66"/>
      <c r="F31" s="60">
        <f>+MIN(F4:F27)</f>
        <v>416692.83999999997</v>
      </c>
      <c r="G31" s="60"/>
      <c r="H31" s="60"/>
      <c r="I31" s="60"/>
      <c r="J31" s="60"/>
      <c r="K31" s="71">
        <f>+MIN(K4:K27)</f>
        <v>198882064.17641926</v>
      </c>
    </row>
    <row r="32" spans="1:15">
      <c r="B32" s="64" t="s">
        <v>95</v>
      </c>
      <c r="C32" s="66"/>
      <c r="D32" s="66"/>
      <c r="E32" s="66"/>
      <c r="F32" s="60">
        <f>+SUM(F4:F27)</f>
        <v>7802701.2000000002</v>
      </c>
      <c r="G32" s="60"/>
      <c r="H32" s="60"/>
      <c r="I32" s="60"/>
      <c r="J32" s="60"/>
      <c r="K32" s="71">
        <f>SUM(K4:K15)</f>
        <v>4747406359.8966141</v>
      </c>
    </row>
    <row r="33" spans="1:13">
      <c r="B33" s="72"/>
      <c r="C33" s="72"/>
      <c r="D33" s="72"/>
      <c r="E33" s="72"/>
      <c r="F33" s="73"/>
      <c r="G33" s="73"/>
      <c r="H33" s="73"/>
      <c r="I33" s="73"/>
      <c r="J33" s="73"/>
      <c r="K33" s="74"/>
    </row>
    <row r="34" spans="1:13">
      <c r="B34" s="72"/>
      <c r="C34" s="72"/>
      <c r="D34" s="72"/>
      <c r="E34" s="72"/>
      <c r="F34" s="73"/>
      <c r="G34" s="73"/>
      <c r="H34" s="73"/>
      <c r="I34" s="73"/>
      <c r="J34" s="73"/>
      <c r="K34" s="74"/>
    </row>
    <row r="35" spans="1:13">
      <c r="B35" s="22"/>
      <c r="C35" s="22"/>
      <c r="D35" s="22"/>
      <c r="E35" s="22"/>
    </row>
    <row r="36" spans="1:13">
      <c r="B36" s="340" t="s">
        <v>160</v>
      </c>
      <c r="C36" s="341"/>
      <c r="D36" s="341"/>
      <c r="E36" s="341"/>
      <c r="F36" s="341"/>
      <c r="G36" s="341"/>
      <c r="H36" s="341"/>
      <c r="I36" s="341"/>
      <c r="J36" s="341"/>
      <c r="K36" s="342"/>
      <c r="L36" s="28"/>
      <c r="M36" s="28"/>
    </row>
    <row r="37" spans="1:13">
      <c r="B37" s="26" t="s">
        <v>30</v>
      </c>
      <c r="C37" s="230"/>
      <c r="D37" s="230"/>
      <c r="E37" s="230"/>
      <c r="F37" s="95" t="s">
        <v>161</v>
      </c>
      <c r="G37" s="62" t="s">
        <v>98</v>
      </c>
      <c r="H37" s="25" t="s">
        <v>96</v>
      </c>
      <c r="I37" s="65" t="s">
        <v>26</v>
      </c>
      <c r="J37" s="340" t="s">
        <v>32</v>
      </c>
      <c r="K37" s="342"/>
    </row>
    <row r="38" spans="1:13">
      <c r="B38" s="186" t="s">
        <v>170</v>
      </c>
      <c r="C38" s="212">
        <v>1991</v>
      </c>
      <c r="D38" s="212">
        <v>751</v>
      </c>
      <c r="E38" s="212">
        <v>2767</v>
      </c>
      <c r="F38" s="212">
        <f>C38+D38+E38</f>
        <v>5509</v>
      </c>
      <c r="G38" s="211">
        <v>1727.14</v>
      </c>
      <c r="H38" s="180">
        <f t="shared" ref="H38:H49" si="3">+F38*G38</f>
        <v>9514814.2599999998</v>
      </c>
      <c r="I38" s="33">
        <f t="shared" ref="I38:I49" si="4">+F38*$J$42*$J$47</f>
        <v>54990.838000000003</v>
      </c>
      <c r="J38" s="338" t="s">
        <v>162</v>
      </c>
      <c r="K38" s="339"/>
    </row>
    <row r="39" spans="1:13">
      <c r="B39" s="186" t="s">
        <v>171</v>
      </c>
      <c r="C39" s="212">
        <v>1960</v>
      </c>
      <c r="D39" s="212">
        <v>269</v>
      </c>
      <c r="E39" s="212">
        <v>2392</v>
      </c>
      <c r="F39" s="212">
        <f t="shared" ref="F39:F49" si="5">C39+D39+E39</f>
        <v>4621</v>
      </c>
      <c r="G39" s="211">
        <v>1830.76</v>
      </c>
      <c r="H39" s="180">
        <f t="shared" si="3"/>
        <v>8459941.959999999</v>
      </c>
      <c r="I39" s="33">
        <f t="shared" si="4"/>
        <v>46126.822</v>
      </c>
      <c r="J39" s="332" t="s">
        <v>165</v>
      </c>
      <c r="K39" s="333"/>
    </row>
    <row r="40" spans="1:13">
      <c r="B40" s="186" t="s">
        <v>172</v>
      </c>
      <c r="C40" s="212">
        <v>2543</v>
      </c>
      <c r="D40" s="212">
        <v>422</v>
      </c>
      <c r="E40" s="212">
        <v>2793</v>
      </c>
      <c r="F40" s="212">
        <f t="shared" si="5"/>
        <v>5758</v>
      </c>
      <c r="G40" s="211">
        <v>1865.46</v>
      </c>
      <c r="H40" s="180">
        <f t="shared" si="3"/>
        <v>10741318.68</v>
      </c>
      <c r="I40" s="33">
        <f t="shared" si="4"/>
        <v>57476.356</v>
      </c>
      <c r="J40" s="86"/>
      <c r="K40" s="87"/>
    </row>
    <row r="41" spans="1:13">
      <c r="B41" s="186" t="s">
        <v>173</v>
      </c>
      <c r="C41" s="212">
        <v>2669</v>
      </c>
      <c r="D41" s="212">
        <v>338</v>
      </c>
      <c r="E41" s="212">
        <v>3549</v>
      </c>
      <c r="F41" s="212">
        <f t="shared" si="5"/>
        <v>6556</v>
      </c>
      <c r="G41" s="211">
        <v>1843.63</v>
      </c>
      <c r="H41" s="180">
        <f t="shared" si="3"/>
        <v>12086838.280000001</v>
      </c>
      <c r="I41" s="33">
        <f t="shared" si="4"/>
        <v>65441.992000000006</v>
      </c>
      <c r="J41" s="324" t="s">
        <v>33</v>
      </c>
      <c r="K41" s="325"/>
    </row>
    <row r="42" spans="1:13">
      <c r="B42" s="186" t="s">
        <v>174</v>
      </c>
      <c r="C42" s="212">
        <v>2325</v>
      </c>
      <c r="D42" s="212">
        <v>369</v>
      </c>
      <c r="E42" s="212">
        <v>3301</v>
      </c>
      <c r="F42" s="212">
        <f t="shared" si="5"/>
        <v>5995</v>
      </c>
      <c r="G42" s="211">
        <v>1852.17</v>
      </c>
      <c r="H42" s="180">
        <f t="shared" si="3"/>
        <v>11103759.15</v>
      </c>
      <c r="I42" s="33">
        <f t="shared" si="4"/>
        <v>59842.090000000004</v>
      </c>
      <c r="J42" s="165">
        <v>35.65</v>
      </c>
      <c r="K42" s="166" t="s">
        <v>164</v>
      </c>
    </row>
    <row r="43" spans="1:13">
      <c r="B43" s="186" t="s">
        <v>175</v>
      </c>
      <c r="C43" s="212">
        <v>1313</v>
      </c>
      <c r="D43" s="212">
        <v>141</v>
      </c>
      <c r="E43" s="212">
        <v>2477</v>
      </c>
      <c r="F43" s="212">
        <f t="shared" si="5"/>
        <v>3931</v>
      </c>
      <c r="G43" s="211">
        <v>1903.34</v>
      </c>
      <c r="H43" s="180">
        <f t="shared" si="3"/>
        <v>7482029.54</v>
      </c>
      <c r="I43" s="33">
        <f t="shared" si="4"/>
        <v>39239.242000000006</v>
      </c>
      <c r="J43" s="318" t="s">
        <v>34</v>
      </c>
      <c r="K43" s="319"/>
    </row>
    <row r="44" spans="1:13" ht="15" customHeight="1">
      <c r="B44" s="186" t="s">
        <v>176</v>
      </c>
      <c r="C44" s="212">
        <v>3135</v>
      </c>
      <c r="D44" s="212">
        <v>852</v>
      </c>
      <c r="E44" s="212">
        <v>3943</v>
      </c>
      <c r="F44" s="212">
        <f t="shared" si="5"/>
        <v>7930</v>
      </c>
      <c r="G44" s="211">
        <v>1936.32</v>
      </c>
      <c r="H44" s="180">
        <f t="shared" si="3"/>
        <v>15355017.6</v>
      </c>
      <c r="I44" s="33">
        <f t="shared" si="4"/>
        <v>79157.260000000009</v>
      </c>
      <c r="J44" s="321" t="s">
        <v>35</v>
      </c>
      <c r="K44" s="322"/>
    </row>
    <row r="45" spans="1:13">
      <c r="B45" s="186" t="s">
        <v>177</v>
      </c>
      <c r="C45" s="212">
        <v>3338</v>
      </c>
      <c r="D45" s="212">
        <v>451</v>
      </c>
      <c r="E45" s="212">
        <v>3661</v>
      </c>
      <c r="F45" s="212">
        <f t="shared" si="5"/>
        <v>7450</v>
      </c>
      <c r="G45" s="211">
        <v>1866.49</v>
      </c>
      <c r="H45" s="180">
        <f t="shared" si="3"/>
        <v>13905350.5</v>
      </c>
      <c r="I45" s="33">
        <f t="shared" si="4"/>
        <v>74365.900000000009</v>
      </c>
      <c r="J45" s="326"/>
      <c r="K45" s="327"/>
    </row>
    <row r="46" spans="1:13">
      <c r="A46" s="21"/>
      <c r="B46" s="186" t="s">
        <v>178</v>
      </c>
      <c r="C46" s="212">
        <v>4483</v>
      </c>
      <c r="D46" s="212">
        <v>175</v>
      </c>
      <c r="E46" s="212">
        <v>3882</v>
      </c>
      <c r="F46" s="212">
        <f t="shared" si="5"/>
        <v>8540</v>
      </c>
      <c r="G46" s="211">
        <v>1791.94</v>
      </c>
      <c r="H46" s="180">
        <f t="shared" si="3"/>
        <v>15303167.6</v>
      </c>
      <c r="I46" s="33">
        <f t="shared" si="4"/>
        <v>85246.280000000013</v>
      </c>
      <c r="J46" s="318" t="s">
        <v>36</v>
      </c>
      <c r="K46" s="319"/>
    </row>
    <row r="47" spans="1:13">
      <c r="B47" s="186" t="s">
        <v>179</v>
      </c>
      <c r="C47" s="212">
        <v>3978</v>
      </c>
      <c r="D47" s="212">
        <v>314</v>
      </c>
      <c r="E47" s="212">
        <v>2732</v>
      </c>
      <c r="F47" s="212">
        <f t="shared" si="5"/>
        <v>7024</v>
      </c>
      <c r="G47" s="211">
        <v>1904.5</v>
      </c>
      <c r="H47" s="180">
        <f t="shared" si="3"/>
        <v>13377208</v>
      </c>
      <c r="I47" s="33">
        <f t="shared" si="4"/>
        <v>70113.567999999999</v>
      </c>
      <c r="J47" s="172">
        <v>0.28000000000000003</v>
      </c>
      <c r="K47" s="166" t="s">
        <v>26</v>
      </c>
    </row>
    <row r="48" spans="1:13">
      <c r="B48" s="186" t="s">
        <v>180</v>
      </c>
      <c r="C48" s="212">
        <v>3678</v>
      </c>
      <c r="D48" s="212">
        <v>722</v>
      </c>
      <c r="E48" s="212">
        <v>2944</v>
      </c>
      <c r="F48" s="212">
        <f t="shared" si="5"/>
        <v>7344</v>
      </c>
      <c r="G48" s="211">
        <v>1895.25</v>
      </c>
      <c r="H48" s="180">
        <f t="shared" si="3"/>
        <v>13918716</v>
      </c>
      <c r="I48" s="33">
        <f t="shared" si="4"/>
        <v>73307.808000000005</v>
      </c>
      <c r="J48" s="172">
        <v>1</v>
      </c>
      <c r="K48" s="166" t="s">
        <v>28</v>
      </c>
    </row>
    <row r="49" spans="2:12">
      <c r="B49" s="186" t="s">
        <v>181</v>
      </c>
      <c r="C49" s="212">
        <v>2546</v>
      </c>
      <c r="D49" s="212">
        <v>385</v>
      </c>
      <c r="E49" s="212">
        <v>2083</v>
      </c>
      <c r="F49" s="212">
        <f t="shared" si="5"/>
        <v>5014</v>
      </c>
      <c r="G49" s="211">
        <v>1985.81</v>
      </c>
      <c r="H49" s="180">
        <f t="shared" si="3"/>
        <v>9956851.3399999999</v>
      </c>
      <c r="I49" s="33">
        <f t="shared" si="4"/>
        <v>50049.748000000007</v>
      </c>
      <c r="J49" s="338" t="s">
        <v>37</v>
      </c>
      <c r="K49" s="339"/>
    </row>
    <row r="50" spans="2:12" ht="15" customHeight="1">
      <c r="B50" s="186"/>
      <c r="C50" s="186"/>
      <c r="D50" s="186"/>
      <c r="E50" s="186"/>
      <c r="F50" s="187"/>
      <c r="G50" s="180"/>
      <c r="H50" s="180"/>
      <c r="I50" s="188"/>
      <c r="J50" s="321"/>
      <c r="K50" s="322"/>
    </row>
    <row r="51" spans="2:12">
      <c r="B51" s="186"/>
      <c r="C51" s="186"/>
      <c r="D51" s="186"/>
      <c r="E51" s="186"/>
      <c r="F51" s="187"/>
      <c r="G51" s="180"/>
      <c r="H51" s="180"/>
      <c r="I51" s="188"/>
      <c r="J51" s="87"/>
      <c r="K51" s="87"/>
    </row>
    <row r="52" spans="2:12">
      <c r="B52" s="186"/>
      <c r="C52" s="186"/>
      <c r="D52" s="186"/>
      <c r="E52" s="186"/>
      <c r="F52" s="187"/>
      <c r="G52" s="180"/>
      <c r="H52" s="180"/>
      <c r="I52" s="188"/>
      <c r="J52" s="87"/>
      <c r="K52" s="87"/>
    </row>
    <row r="53" spans="2:12">
      <c r="B53" s="2"/>
      <c r="C53" s="2"/>
      <c r="D53" s="2"/>
      <c r="E53" s="2"/>
      <c r="F53" s="2"/>
      <c r="G53" s="2"/>
      <c r="H53"/>
      <c r="I53"/>
      <c r="J53" s="87"/>
      <c r="K53" s="87"/>
    </row>
    <row r="54" spans="2:12">
      <c r="B54" s="79" t="s">
        <v>9</v>
      </c>
      <c r="C54" s="79"/>
      <c r="D54" s="79"/>
      <c r="E54" s="79"/>
      <c r="F54" s="60">
        <f>+AVERAGE(F38:F52)</f>
        <v>6306</v>
      </c>
      <c r="G54" s="60"/>
      <c r="H54" s="71">
        <f>+AVERAGE(H38:H52)</f>
        <v>11767084.409166666</v>
      </c>
      <c r="I54" s="33">
        <f>+AVERAGE(I38:I52)</f>
        <v>62946.491999999998</v>
      </c>
    </row>
    <row r="55" spans="2:12">
      <c r="B55" s="79" t="s">
        <v>23</v>
      </c>
      <c r="C55" s="79"/>
      <c r="D55" s="79"/>
      <c r="E55" s="79"/>
      <c r="F55" s="60">
        <f>+MAX(F38:F52)</f>
        <v>8540</v>
      </c>
      <c r="G55" s="60"/>
      <c r="H55" s="71">
        <f>+MAX(H38:H52)</f>
        <v>15355017.6</v>
      </c>
      <c r="I55" s="33">
        <f>+MAX(I38:I52)</f>
        <v>85246.280000000013</v>
      </c>
    </row>
    <row r="56" spans="2:12">
      <c r="B56" s="79" t="s">
        <v>24</v>
      </c>
      <c r="C56" s="79"/>
      <c r="D56" s="79"/>
      <c r="E56" s="79"/>
      <c r="F56" s="60">
        <f>+MIN(F38:F52)</f>
        <v>3931</v>
      </c>
      <c r="G56" s="60"/>
      <c r="H56" s="71">
        <f>+MIN(H38:H52)</f>
        <v>7482029.54</v>
      </c>
      <c r="I56" s="33">
        <f>+MIN(I38:I52)</f>
        <v>39239.242000000006</v>
      </c>
    </row>
    <row r="57" spans="2:12">
      <c r="B57" s="79" t="s">
        <v>95</v>
      </c>
      <c r="C57" s="79"/>
      <c r="D57" s="79"/>
      <c r="E57" s="79"/>
      <c r="F57" s="60">
        <f>+SUM(F38:F52)</f>
        <v>75672</v>
      </c>
      <c r="G57" s="60"/>
      <c r="H57" s="71">
        <f>SUM(H38:H48)</f>
        <v>131248161.56999999</v>
      </c>
      <c r="I57" s="33">
        <f>SUM(I38:I52)</f>
        <v>755357.90399999998</v>
      </c>
    </row>
    <row r="58" spans="2:12">
      <c r="B58" s="34"/>
      <c r="C58" s="34"/>
      <c r="D58" s="34"/>
      <c r="E58" s="34"/>
      <c r="F58" s="35"/>
      <c r="G58" s="35"/>
      <c r="H58" s="35"/>
      <c r="I58" s="35"/>
    </row>
    <row r="59" spans="2:12">
      <c r="B59" s="34"/>
      <c r="C59" s="34"/>
      <c r="D59" s="34"/>
      <c r="E59" s="34"/>
      <c r="F59" s="35"/>
      <c r="G59" s="35"/>
      <c r="H59" s="35"/>
      <c r="I59" s="35"/>
      <c r="J59" s="35"/>
      <c r="K59" s="35"/>
      <c r="L59" s="35"/>
    </row>
    <row r="60" spans="2:12">
      <c r="B60" s="34"/>
      <c r="C60" s="34"/>
      <c r="D60" s="34"/>
      <c r="E60" s="34"/>
      <c r="F60" s="35"/>
      <c r="G60" s="35"/>
      <c r="H60" s="35"/>
      <c r="I60" s="35"/>
      <c r="J60" s="35"/>
      <c r="K60" s="35"/>
      <c r="L60" s="35"/>
    </row>
    <row r="61" spans="2:12">
      <c r="B61" s="240" t="s">
        <v>27</v>
      </c>
      <c r="C61" s="241"/>
      <c r="D61" s="257"/>
      <c r="E61" s="257"/>
      <c r="F61" s="257"/>
      <c r="G61" s="257"/>
      <c r="H61" s="257"/>
      <c r="I61"/>
    </row>
    <row r="62" spans="2:12" ht="15" customHeight="1">
      <c r="B62" s="48" t="s">
        <v>5</v>
      </c>
      <c r="C62" s="95" t="s">
        <v>39</v>
      </c>
      <c r="D62" s="258" t="s">
        <v>98</v>
      </c>
      <c r="E62" s="258" t="s">
        <v>96</v>
      </c>
      <c r="F62" s="258" t="s">
        <v>26</v>
      </c>
      <c r="G62" s="256" t="s">
        <v>32</v>
      </c>
      <c r="H62" s="257"/>
      <c r="I62"/>
      <c r="L62" s="28"/>
    </row>
    <row r="63" spans="2:12">
      <c r="B63" s="90" t="str">
        <f t="shared" ref="B63:B74" si="6">+B4</f>
        <v>Enero</v>
      </c>
      <c r="C63" s="89">
        <v>225</v>
      </c>
      <c r="D63" s="180">
        <v>8683.1551285714286</v>
      </c>
      <c r="E63" s="80">
        <f t="shared" ref="E63:E74" si="7">+C63*D63</f>
        <v>1953709.9039285714</v>
      </c>
      <c r="F63" s="81">
        <f t="shared" ref="F63:F74" si="8">+C63*$H$75*$G$69*$G$80*$G$84</f>
        <v>8597.6679048750011</v>
      </c>
      <c r="G63" s="338"/>
      <c r="H63" s="339"/>
      <c r="I63"/>
    </row>
    <row r="64" spans="2:12">
      <c r="B64" s="90" t="str">
        <f t="shared" si="6"/>
        <v>Febrero</v>
      </c>
      <c r="C64" s="89">
        <v>78</v>
      </c>
      <c r="D64" s="180">
        <v>8724.7702000000008</v>
      </c>
      <c r="E64" s="80">
        <f t="shared" si="7"/>
        <v>680532.0756000001</v>
      </c>
      <c r="F64" s="81">
        <f t="shared" si="8"/>
        <v>2980.5248736900007</v>
      </c>
      <c r="G64" s="338"/>
      <c r="H64" s="339"/>
      <c r="I64"/>
      <c r="L64" s="36"/>
    </row>
    <row r="65" spans="2:13">
      <c r="B65" s="90" t="str">
        <f t="shared" si="6"/>
        <v>Marzo</v>
      </c>
      <c r="C65" s="89">
        <v>116</v>
      </c>
      <c r="D65" s="180">
        <v>8720.6085500000008</v>
      </c>
      <c r="E65" s="80">
        <f t="shared" si="7"/>
        <v>1011590.5918000001</v>
      </c>
      <c r="F65" s="81">
        <f t="shared" si="8"/>
        <v>4432.5754531800003</v>
      </c>
      <c r="G65" s="324" t="s">
        <v>40</v>
      </c>
      <c r="H65" s="325"/>
      <c r="I65"/>
      <c r="L65" s="40"/>
    </row>
    <row r="66" spans="2:13">
      <c r="B66" s="90" t="str">
        <f t="shared" si="6"/>
        <v>Abril</v>
      </c>
      <c r="C66" s="89">
        <v>24</v>
      </c>
      <c r="D66" s="180">
        <v>8708.1236000000008</v>
      </c>
      <c r="E66" s="80">
        <f t="shared" si="7"/>
        <v>208994.96640000003</v>
      </c>
      <c r="F66" s="81">
        <f t="shared" si="8"/>
        <v>917.08457652000016</v>
      </c>
      <c r="G66" s="169" t="s">
        <v>27</v>
      </c>
      <c r="H66" s="173">
        <v>92</v>
      </c>
      <c r="I66"/>
      <c r="L66" s="37"/>
    </row>
    <row r="67" spans="2:13">
      <c r="B67" s="90" t="str">
        <f t="shared" si="6"/>
        <v>Mayo</v>
      </c>
      <c r="C67" s="89">
        <v>0</v>
      </c>
      <c r="D67" s="180">
        <v>0</v>
      </c>
      <c r="E67" s="80">
        <f t="shared" si="7"/>
        <v>0</v>
      </c>
      <c r="F67" s="81">
        <f t="shared" si="8"/>
        <v>0</v>
      </c>
      <c r="G67" s="170" t="s">
        <v>102</v>
      </c>
      <c r="H67" s="173">
        <v>8</v>
      </c>
      <c r="I67"/>
      <c r="L67" s="38"/>
    </row>
    <row r="68" spans="2:13">
      <c r="B68" s="90" t="str">
        <f t="shared" si="6"/>
        <v>Junio</v>
      </c>
      <c r="C68" s="89">
        <v>15</v>
      </c>
      <c r="D68" s="180">
        <v>8708.1236000000008</v>
      </c>
      <c r="E68" s="80">
        <f t="shared" si="7"/>
        <v>130621.85400000001</v>
      </c>
      <c r="F68" s="81">
        <f t="shared" si="8"/>
        <v>573.1778603250001</v>
      </c>
      <c r="G68" s="324" t="s">
        <v>41</v>
      </c>
      <c r="H68" s="325"/>
      <c r="I68"/>
      <c r="L68" s="36"/>
    </row>
    <row r="69" spans="2:13">
      <c r="B69" s="90" t="str">
        <f t="shared" si="6"/>
        <v>Julio</v>
      </c>
      <c r="C69" s="89">
        <v>158</v>
      </c>
      <c r="D69" s="180">
        <v>8708.1236000000008</v>
      </c>
      <c r="E69" s="80">
        <f t="shared" si="7"/>
        <v>1375883.5288000002</v>
      </c>
      <c r="F69" s="81">
        <f t="shared" si="8"/>
        <v>6037.4734620900008</v>
      </c>
      <c r="G69" s="167">
        <v>0.85</v>
      </c>
      <c r="H69" s="152" t="s">
        <v>103</v>
      </c>
      <c r="I69"/>
      <c r="L69" s="38"/>
    </row>
    <row r="70" spans="2:13">
      <c r="B70" s="90" t="str">
        <f t="shared" si="6"/>
        <v>Agosto</v>
      </c>
      <c r="C70" s="89">
        <v>0</v>
      </c>
      <c r="D70" s="180"/>
      <c r="E70" s="80">
        <f t="shared" si="7"/>
        <v>0</v>
      </c>
      <c r="F70" s="81">
        <f t="shared" si="8"/>
        <v>0</v>
      </c>
      <c r="G70" s="324" t="s">
        <v>68</v>
      </c>
      <c r="H70" s="325"/>
      <c r="I70"/>
      <c r="J70" s="36"/>
      <c r="K70" s="36"/>
      <c r="L70" s="37"/>
      <c r="M70" s="36"/>
    </row>
    <row r="71" spans="2:13" ht="15" customHeight="1">
      <c r="B71" s="90" t="str">
        <f t="shared" si="6"/>
        <v>Septiembre</v>
      </c>
      <c r="C71" s="89">
        <v>0</v>
      </c>
      <c r="D71" s="180"/>
      <c r="E71" s="80">
        <f t="shared" si="7"/>
        <v>0</v>
      </c>
      <c r="F71" s="81">
        <f t="shared" si="8"/>
        <v>0</v>
      </c>
      <c r="G71" s="321" t="s">
        <v>101</v>
      </c>
      <c r="H71" s="322"/>
      <c r="I71"/>
      <c r="J71" s="36"/>
      <c r="K71" s="36"/>
      <c r="L71" s="39"/>
      <c r="M71" s="36"/>
    </row>
    <row r="72" spans="2:13" ht="15" customHeight="1">
      <c r="B72" s="90" t="str">
        <f t="shared" si="6"/>
        <v>Octubre</v>
      </c>
      <c r="C72" s="89">
        <v>0</v>
      </c>
      <c r="D72" s="180"/>
      <c r="E72" s="80">
        <f t="shared" si="7"/>
        <v>0</v>
      </c>
      <c r="F72" s="81">
        <f t="shared" si="8"/>
        <v>0</v>
      </c>
      <c r="G72" s="326"/>
      <c r="H72" s="327"/>
      <c r="I72"/>
      <c r="J72" s="36"/>
      <c r="K72" s="36"/>
      <c r="L72" s="36"/>
      <c r="M72" s="36"/>
    </row>
    <row r="73" spans="2:13">
      <c r="B73" s="90" t="str">
        <f t="shared" si="6"/>
        <v>Noviembre</v>
      </c>
      <c r="C73" s="89">
        <v>510</v>
      </c>
      <c r="D73" s="180">
        <v>8708.1236000000008</v>
      </c>
      <c r="E73" s="80">
        <f t="shared" si="7"/>
        <v>4441143.0360000003</v>
      </c>
      <c r="F73" s="81">
        <f t="shared" si="8"/>
        <v>19488.047251050004</v>
      </c>
      <c r="G73" s="318" t="s">
        <v>42</v>
      </c>
      <c r="H73" s="319"/>
      <c r="I73"/>
      <c r="J73" s="36"/>
      <c r="K73" s="36"/>
      <c r="L73" s="39"/>
      <c r="M73" s="36"/>
    </row>
    <row r="74" spans="2:13">
      <c r="B74" s="90" t="str">
        <f t="shared" si="6"/>
        <v>Diciembre</v>
      </c>
      <c r="C74" s="89">
        <v>166</v>
      </c>
      <c r="D74" s="180">
        <v>9030</v>
      </c>
      <c r="E74" s="80">
        <f t="shared" si="7"/>
        <v>1498980</v>
      </c>
      <c r="F74" s="81">
        <f t="shared" si="8"/>
        <v>6343.1683209300027</v>
      </c>
      <c r="G74" s="168" t="s">
        <v>39</v>
      </c>
      <c r="H74" s="167">
        <v>1</v>
      </c>
      <c r="I74"/>
      <c r="J74" s="36"/>
      <c r="K74" s="36"/>
      <c r="L74" s="36"/>
      <c r="M74" s="36"/>
    </row>
    <row r="75" spans="2:13">
      <c r="B75" s="189"/>
      <c r="C75" s="190"/>
      <c r="D75" s="179"/>
      <c r="E75" s="180"/>
      <c r="F75" s="191"/>
      <c r="G75" s="167" t="s">
        <v>43</v>
      </c>
      <c r="H75" s="167">
        <v>3.7850000000000001</v>
      </c>
      <c r="I75"/>
      <c r="J75" s="36"/>
      <c r="K75" s="36"/>
      <c r="L75" s="36"/>
      <c r="M75" s="36"/>
    </row>
    <row r="76" spans="2:13">
      <c r="B76" s="189"/>
      <c r="C76" s="190"/>
      <c r="D76" s="179"/>
      <c r="E76" s="180"/>
      <c r="F76" s="191"/>
      <c r="G76" s="254" t="s">
        <v>44</v>
      </c>
      <c r="H76" s="255"/>
      <c r="I76" s="36"/>
      <c r="J76" s="36"/>
      <c r="K76" s="36"/>
      <c r="L76" s="36"/>
      <c r="M76" s="36"/>
    </row>
    <row r="77" spans="2:13">
      <c r="B77" s="189"/>
      <c r="C77" s="190"/>
      <c r="D77" s="179"/>
      <c r="E77" s="180"/>
      <c r="F77" s="191"/>
      <c r="G77" s="321" t="s">
        <v>45</v>
      </c>
      <c r="H77" s="322"/>
      <c r="I77" s="36"/>
      <c r="J77" s="36"/>
      <c r="K77" s="36"/>
      <c r="L77" s="36"/>
      <c r="M77" s="36"/>
    </row>
    <row r="78" spans="2:13" ht="15" customHeight="1">
      <c r="B78" s="189"/>
      <c r="C78" s="190"/>
      <c r="D78" s="179"/>
      <c r="E78" s="180"/>
      <c r="F78" s="191"/>
      <c r="G78" s="326"/>
      <c r="H78" s="327"/>
      <c r="I78" s="36"/>
      <c r="J78" s="36"/>
      <c r="K78" s="36"/>
      <c r="L78" s="36"/>
      <c r="M78" s="36"/>
    </row>
    <row r="79" spans="2:13">
      <c r="B79" s="189"/>
      <c r="C79" s="190"/>
      <c r="D79" s="179"/>
      <c r="E79" s="180"/>
      <c r="F79" s="191"/>
      <c r="G79" s="324" t="s">
        <v>33</v>
      </c>
      <c r="H79" s="325"/>
      <c r="I79" s="36"/>
      <c r="J79" s="36"/>
      <c r="K79" s="36"/>
      <c r="L79" s="36"/>
      <c r="M79" s="36"/>
    </row>
    <row r="80" spans="2:13">
      <c r="B80" s="189"/>
      <c r="C80" s="190"/>
      <c r="D80" s="179"/>
      <c r="E80" s="180"/>
      <c r="F80" s="191"/>
      <c r="G80" s="167">
        <f>(42.4185)</f>
        <v>42.418500000000002</v>
      </c>
      <c r="H80" s="152" t="s">
        <v>104</v>
      </c>
      <c r="I80" s="36"/>
      <c r="J80" s="36"/>
      <c r="K80" s="36"/>
      <c r="L80" s="36"/>
      <c r="M80" s="36"/>
    </row>
    <row r="81" spans="2:16">
      <c r="B81" s="189"/>
      <c r="C81" s="190"/>
      <c r="D81" s="179"/>
      <c r="E81" s="180"/>
      <c r="F81" s="191"/>
      <c r="G81" s="318" t="s">
        <v>46</v>
      </c>
      <c r="H81" s="319"/>
      <c r="I81" s="36"/>
      <c r="J81" s="36"/>
      <c r="K81" s="36"/>
      <c r="L81" s="36"/>
      <c r="M81" s="36"/>
    </row>
    <row r="82" spans="2:16">
      <c r="B82" s="189"/>
      <c r="C82" s="190"/>
      <c r="D82" s="179"/>
      <c r="E82" s="180"/>
      <c r="F82" s="191"/>
      <c r="G82" s="344" t="s">
        <v>35</v>
      </c>
      <c r="H82" s="345"/>
      <c r="I82" s="36"/>
      <c r="J82" s="36"/>
      <c r="K82" s="36"/>
      <c r="L82" s="36"/>
      <c r="M82" s="36"/>
    </row>
    <row r="83" spans="2:16" ht="15" customHeight="1">
      <c r="B83" s="189"/>
      <c r="C83" s="190"/>
      <c r="D83" s="179"/>
      <c r="E83" s="180"/>
      <c r="F83" s="191"/>
      <c r="G83" s="318" t="s">
        <v>36</v>
      </c>
      <c r="H83" s="319"/>
      <c r="I83" s="36"/>
      <c r="J83" s="36"/>
      <c r="K83" s="36"/>
      <c r="L83" s="36"/>
      <c r="M83" s="36"/>
    </row>
    <row r="84" spans="2:16">
      <c r="B84" s="79" t="s">
        <v>9</v>
      </c>
      <c r="C84" s="60">
        <f>+AVERAGE(C63:C83)</f>
        <v>107.66666666666667</v>
      </c>
      <c r="D84" s="60">
        <f t="shared" ref="D84:F84" si="9">+AVERAGE(D63:D83)</f>
        <v>7776.7809198412706</v>
      </c>
      <c r="E84" s="60">
        <f t="shared" si="9"/>
        <v>941787.99637738091</v>
      </c>
      <c r="F84" s="60">
        <f t="shared" si="9"/>
        <v>4114.1433085550007</v>
      </c>
      <c r="G84" s="167">
        <v>0.28000000000000003</v>
      </c>
      <c r="H84" s="152" t="s">
        <v>26</v>
      </c>
      <c r="I84" s="36"/>
      <c r="J84" s="36"/>
      <c r="K84" s="36"/>
      <c r="L84" s="36"/>
      <c r="M84" s="36"/>
    </row>
    <row r="85" spans="2:16">
      <c r="B85" s="79" t="s">
        <v>23</v>
      </c>
      <c r="C85" s="60">
        <f>+MAX(C63:C83)</f>
        <v>510</v>
      </c>
      <c r="D85" s="60">
        <f t="shared" ref="D85:F85" si="10">+MAX(D63:D83)</f>
        <v>9030</v>
      </c>
      <c r="E85" s="60">
        <f t="shared" si="10"/>
        <v>4441143.0360000003</v>
      </c>
      <c r="F85" s="60">
        <f t="shared" si="10"/>
        <v>19488.047251050004</v>
      </c>
      <c r="G85" s="167">
        <v>1</v>
      </c>
      <c r="H85" s="152" t="s">
        <v>28</v>
      </c>
      <c r="I85" s="36"/>
      <c r="J85" s="36"/>
      <c r="K85" s="36"/>
      <c r="L85" s="36"/>
      <c r="M85" s="36"/>
    </row>
    <row r="86" spans="2:16">
      <c r="B86" s="79" t="s">
        <v>24</v>
      </c>
      <c r="C86" s="60">
        <f>+MIN(C63:C83)</f>
        <v>0</v>
      </c>
      <c r="D86" s="60">
        <f t="shared" ref="D86:F86" si="11">+MIN(D63:D83)</f>
        <v>0</v>
      </c>
      <c r="E86" s="60">
        <f t="shared" si="11"/>
        <v>0</v>
      </c>
      <c r="F86" s="60">
        <f t="shared" si="11"/>
        <v>0</v>
      </c>
      <c r="G86" s="320" t="s">
        <v>37</v>
      </c>
      <c r="H86" s="320"/>
      <c r="I86" s="36"/>
      <c r="J86" s="36"/>
      <c r="K86" s="36"/>
      <c r="L86" s="36"/>
      <c r="M86" s="36"/>
    </row>
    <row r="87" spans="2:16">
      <c r="B87" s="79" t="s">
        <v>95</v>
      </c>
      <c r="C87" s="60">
        <f>+SUM(C63:C83)</f>
        <v>1292</v>
      </c>
      <c r="D87" s="60">
        <f t="shared" ref="D87:F87" si="12">+SUM(D63:D83)</f>
        <v>69991.028278571437</v>
      </c>
      <c r="E87" s="60">
        <f t="shared" si="12"/>
        <v>11301455.956528571</v>
      </c>
      <c r="F87" s="60">
        <f t="shared" si="12"/>
        <v>49369.719702660012</v>
      </c>
      <c r="G87" s="317" t="s">
        <v>38</v>
      </c>
      <c r="H87" s="317"/>
      <c r="I87" s="36"/>
      <c r="J87" s="36"/>
      <c r="K87" s="36"/>
      <c r="L87" s="36"/>
      <c r="M87" s="36"/>
    </row>
    <row r="88" spans="2:16">
      <c r="G88" s="316" t="s">
        <v>65</v>
      </c>
      <c r="H88" s="316"/>
      <c r="I88" s="36"/>
      <c r="J88" s="84"/>
      <c r="K88" s="84"/>
      <c r="L88" s="88"/>
      <c r="M88" s="36"/>
    </row>
    <row r="89" spans="2:16" ht="15.75" customHeight="1">
      <c r="G89" s="317" t="s">
        <v>69</v>
      </c>
      <c r="H89" s="317"/>
      <c r="I89" s="36"/>
      <c r="J89" s="84"/>
      <c r="K89" s="84"/>
      <c r="L89" s="36"/>
      <c r="M89" s="36"/>
    </row>
    <row r="90" spans="2:16" ht="15.75" customHeight="1">
      <c r="G90" s="261"/>
      <c r="H90" s="261"/>
      <c r="I90" s="36"/>
      <c r="J90" s="36"/>
      <c r="K90" s="36"/>
      <c r="L90" s="36"/>
      <c r="M90" s="36"/>
      <c r="N90" s="36"/>
      <c r="O90" s="36"/>
      <c r="P90" s="36"/>
    </row>
    <row r="91" spans="2:16">
      <c r="G91" s="261"/>
      <c r="H91" s="261"/>
      <c r="I91" s="36"/>
      <c r="J91" s="36"/>
      <c r="K91" s="36"/>
      <c r="L91" s="36"/>
      <c r="M91" s="36"/>
      <c r="N91" s="36"/>
      <c r="O91" s="36"/>
      <c r="P91" s="36"/>
    </row>
    <row r="92" spans="2:16">
      <c r="G92" s="36"/>
      <c r="H92" s="36"/>
      <c r="I92" s="36"/>
      <c r="J92" s="73"/>
      <c r="K92" s="36"/>
      <c r="L92" s="36"/>
      <c r="M92" s="261"/>
      <c r="N92" s="261"/>
      <c r="O92" s="36"/>
      <c r="P92" s="36"/>
    </row>
    <row r="93" spans="2:16">
      <c r="E93" s="21"/>
      <c r="F93" s="21"/>
      <c r="G93" s="21"/>
      <c r="H93" s="21"/>
      <c r="I93" s="236"/>
      <c r="J93" s="236"/>
      <c r="K93" s="236"/>
      <c r="L93" s="236"/>
      <c r="M93" s="36"/>
      <c r="N93" s="36"/>
      <c r="O93" s="36"/>
      <c r="P93" s="36"/>
    </row>
    <row r="94" spans="2:16" ht="17.25">
      <c r="E94" s="21"/>
      <c r="F94" s="21"/>
      <c r="G94" s="21"/>
      <c r="H94" s="21"/>
      <c r="I94" s="266"/>
      <c r="J94" s="236"/>
      <c r="K94" s="236"/>
      <c r="L94" s="236"/>
      <c r="M94" s="36"/>
      <c r="N94" s="36"/>
      <c r="O94" s="36"/>
      <c r="P94" s="36"/>
    </row>
    <row r="95" spans="2:16" hidden="1">
      <c r="B95" s="242" t="s">
        <v>110</v>
      </c>
      <c r="C95" s="243"/>
      <c r="D95" s="243"/>
      <c r="E95" s="267"/>
      <c r="F95" s="267"/>
      <c r="G95" s="267"/>
      <c r="H95" s="267"/>
      <c r="I95" s="268"/>
      <c r="J95" s="21"/>
      <c r="K95" s="21"/>
      <c r="L95" s="21"/>
      <c r="O95" s="36"/>
    </row>
    <row r="96" spans="2:16" s="75" customFormat="1" ht="15" hidden="1" customHeight="1">
      <c r="B96" s="76" t="s">
        <v>5</v>
      </c>
      <c r="C96" s="229"/>
      <c r="D96" s="229"/>
      <c r="E96" s="252"/>
      <c r="F96" s="252" t="s">
        <v>39</v>
      </c>
      <c r="G96" s="255"/>
      <c r="H96" s="255"/>
      <c r="I96" s="255"/>
      <c r="J96" s="267"/>
      <c r="K96" s="267"/>
      <c r="L96" s="267"/>
      <c r="M96" s="243"/>
      <c r="N96" s="244"/>
    </row>
    <row r="97" spans="2:14" s="75" customFormat="1" hidden="1">
      <c r="B97" s="91" t="str">
        <f t="shared" ref="B97:B108" si="13">B4</f>
        <v>Enero</v>
      </c>
      <c r="C97" s="91"/>
      <c r="D97" s="91"/>
      <c r="E97" s="269"/>
      <c r="F97" s="270">
        <v>0</v>
      </c>
      <c r="G97" s="271"/>
      <c r="H97" s="271"/>
      <c r="I97" s="271"/>
      <c r="J97" s="255" t="s">
        <v>66</v>
      </c>
      <c r="K97" s="255" t="s">
        <v>96</v>
      </c>
      <c r="L97" s="254" t="s">
        <v>26</v>
      </c>
      <c r="M97" s="337" t="s">
        <v>32</v>
      </c>
      <c r="N97" s="337"/>
    </row>
    <row r="98" spans="2:14" s="75" customFormat="1" hidden="1">
      <c r="B98" s="91" t="str">
        <f t="shared" si="13"/>
        <v>Febrero</v>
      </c>
      <c r="C98" s="91"/>
      <c r="D98" s="91"/>
      <c r="E98" s="269"/>
      <c r="F98" s="270">
        <v>0</v>
      </c>
      <c r="G98" s="271"/>
      <c r="H98" s="271"/>
      <c r="I98" s="271"/>
      <c r="J98" s="272" t="e">
        <f t="shared" ref="J98:J109" si="14">+K98/F97</f>
        <v>#DIV/0!</v>
      </c>
      <c r="K98" s="262">
        <v>0</v>
      </c>
      <c r="L98" s="92">
        <f t="shared" ref="L98:L109" si="15">+F97*$N$110*$M$104*$M$115*$M$119</f>
        <v>0</v>
      </c>
      <c r="M98" s="324"/>
      <c r="N98" s="325"/>
    </row>
    <row r="99" spans="2:14" s="75" customFormat="1" hidden="1">
      <c r="B99" s="91" t="str">
        <f t="shared" si="13"/>
        <v>Marzo</v>
      </c>
      <c r="C99" s="91"/>
      <c r="D99" s="91"/>
      <c r="E99" s="269"/>
      <c r="F99" s="270">
        <v>0</v>
      </c>
      <c r="G99" s="271"/>
      <c r="H99" s="271"/>
      <c r="I99" s="271"/>
      <c r="J99" s="272" t="e">
        <f t="shared" si="14"/>
        <v>#DIV/0!</v>
      </c>
      <c r="K99" s="262">
        <v>0</v>
      </c>
      <c r="L99" s="92">
        <f t="shared" si="15"/>
        <v>0</v>
      </c>
      <c r="M99" s="324"/>
      <c r="N99" s="325"/>
    </row>
    <row r="100" spans="2:14" s="75" customFormat="1" hidden="1">
      <c r="B100" s="91" t="str">
        <f t="shared" si="13"/>
        <v>Abril</v>
      </c>
      <c r="C100" s="91"/>
      <c r="D100" s="91"/>
      <c r="E100" s="269"/>
      <c r="F100" s="270">
        <v>0</v>
      </c>
      <c r="G100" s="271"/>
      <c r="H100" s="271"/>
      <c r="I100" s="271"/>
      <c r="J100" s="272" t="e">
        <f t="shared" si="14"/>
        <v>#DIV/0!</v>
      </c>
      <c r="K100" s="262">
        <v>0</v>
      </c>
      <c r="L100" s="92">
        <f t="shared" si="15"/>
        <v>0</v>
      </c>
      <c r="M100" s="324" t="s">
        <v>40</v>
      </c>
      <c r="N100" s="325"/>
    </row>
    <row r="101" spans="2:14" s="75" customFormat="1" hidden="1">
      <c r="B101" s="91" t="str">
        <f t="shared" si="13"/>
        <v>Mayo</v>
      </c>
      <c r="C101" s="91"/>
      <c r="D101" s="91"/>
      <c r="E101" s="269"/>
      <c r="F101" s="270">
        <v>0</v>
      </c>
      <c r="G101" s="271"/>
      <c r="H101" s="271"/>
      <c r="I101" s="271"/>
      <c r="J101" s="272" t="e">
        <f t="shared" si="14"/>
        <v>#DIV/0!</v>
      </c>
      <c r="K101" s="262">
        <v>0</v>
      </c>
      <c r="L101" s="92">
        <f t="shared" si="15"/>
        <v>0</v>
      </c>
      <c r="M101" s="169" t="s">
        <v>63</v>
      </c>
      <c r="N101" s="173">
        <v>92</v>
      </c>
    </row>
    <row r="102" spans="2:14" s="75" customFormat="1" hidden="1">
      <c r="B102" s="91" t="str">
        <f t="shared" si="13"/>
        <v>Junio</v>
      </c>
      <c r="C102" s="91"/>
      <c r="D102" s="91"/>
      <c r="E102" s="269"/>
      <c r="F102" s="270">
        <v>0</v>
      </c>
      <c r="G102" s="271"/>
      <c r="H102" s="271"/>
      <c r="I102" s="271"/>
      <c r="J102" s="272" t="e">
        <f t="shared" si="14"/>
        <v>#DIV/0!</v>
      </c>
      <c r="K102" s="262">
        <v>0</v>
      </c>
      <c r="L102" s="92">
        <f t="shared" si="15"/>
        <v>0</v>
      </c>
      <c r="M102" s="170" t="s">
        <v>67</v>
      </c>
      <c r="N102" s="173">
        <v>8</v>
      </c>
    </row>
    <row r="103" spans="2:14" s="75" customFormat="1" hidden="1">
      <c r="B103" s="91" t="str">
        <f t="shared" si="13"/>
        <v>Julio</v>
      </c>
      <c r="C103" s="91"/>
      <c r="D103" s="91"/>
      <c r="E103" s="269"/>
      <c r="F103" s="270">
        <v>0</v>
      </c>
      <c r="G103" s="271"/>
      <c r="H103" s="271"/>
      <c r="I103" s="271"/>
      <c r="J103" s="272" t="e">
        <f t="shared" si="14"/>
        <v>#DIV/0!</v>
      </c>
      <c r="K103" s="262">
        <v>0</v>
      </c>
      <c r="L103" s="92">
        <f t="shared" si="15"/>
        <v>0</v>
      </c>
      <c r="M103" s="324" t="s">
        <v>41</v>
      </c>
      <c r="N103" s="325"/>
    </row>
    <row r="104" spans="2:14" s="75" customFormat="1" hidden="1">
      <c r="B104" s="91" t="str">
        <f t="shared" si="13"/>
        <v>Agosto</v>
      </c>
      <c r="C104" s="91"/>
      <c r="D104" s="91"/>
      <c r="E104" s="269"/>
      <c r="F104" s="270">
        <v>0</v>
      </c>
      <c r="G104" s="271"/>
      <c r="H104" s="271"/>
      <c r="I104" s="271"/>
      <c r="J104" s="272" t="e">
        <f t="shared" si="14"/>
        <v>#DIV/0!</v>
      </c>
      <c r="K104" s="262">
        <v>0</v>
      </c>
      <c r="L104" s="92">
        <f t="shared" si="15"/>
        <v>0</v>
      </c>
      <c r="M104" s="167">
        <v>0.74</v>
      </c>
      <c r="N104" s="152" t="s">
        <v>103</v>
      </c>
    </row>
    <row r="105" spans="2:14" s="75" customFormat="1" hidden="1">
      <c r="B105" s="91" t="str">
        <f t="shared" si="13"/>
        <v>Septiembre</v>
      </c>
      <c r="C105" s="91"/>
      <c r="D105" s="91"/>
      <c r="E105" s="269"/>
      <c r="F105" s="270">
        <v>0</v>
      </c>
      <c r="G105" s="271"/>
      <c r="H105" s="271"/>
      <c r="I105" s="271"/>
      <c r="J105" s="272" t="e">
        <f t="shared" si="14"/>
        <v>#DIV/0!</v>
      </c>
      <c r="K105" s="262">
        <v>0</v>
      </c>
      <c r="L105" s="92">
        <f t="shared" si="15"/>
        <v>0</v>
      </c>
      <c r="M105" s="324" t="s">
        <v>68</v>
      </c>
      <c r="N105" s="325"/>
    </row>
    <row r="106" spans="2:14" s="75" customFormat="1" ht="15" hidden="1" customHeight="1">
      <c r="B106" s="91" t="str">
        <f t="shared" si="13"/>
        <v>Octubre</v>
      </c>
      <c r="C106" s="91"/>
      <c r="D106" s="91"/>
      <c r="E106" s="269"/>
      <c r="F106" s="270">
        <v>0</v>
      </c>
      <c r="G106" s="271"/>
      <c r="H106" s="271"/>
      <c r="I106" s="271"/>
      <c r="J106" s="272" t="e">
        <f t="shared" si="14"/>
        <v>#DIV/0!</v>
      </c>
      <c r="K106" s="262">
        <v>0</v>
      </c>
      <c r="L106" s="92">
        <f t="shared" si="15"/>
        <v>0</v>
      </c>
      <c r="M106" s="321" t="s">
        <v>35</v>
      </c>
      <c r="N106" s="322"/>
    </row>
    <row r="107" spans="2:14" s="75" customFormat="1" hidden="1">
      <c r="B107" s="91" t="str">
        <f t="shared" si="13"/>
        <v>Noviembre</v>
      </c>
      <c r="C107" s="91"/>
      <c r="D107" s="91"/>
      <c r="E107" s="269"/>
      <c r="F107" s="270">
        <v>0</v>
      </c>
      <c r="G107" s="271"/>
      <c r="H107" s="271"/>
      <c r="I107" s="271"/>
      <c r="J107" s="272" t="e">
        <f t="shared" si="14"/>
        <v>#DIV/0!</v>
      </c>
      <c r="K107" s="262">
        <v>0</v>
      </c>
      <c r="L107" s="92">
        <f t="shared" si="15"/>
        <v>0</v>
      </c>
      <c r="M107" s="326"/>
      <c r="N107" s="327"/>
    </row>
    <row r="108" spans="2:14" s="75" customFormat="1" hidden="1">
      <c r="B108" s="91" t="str">
        <f t="shared" si="13"/>
        <v>Diciembre</v>
      </c>
      <c r="C108" s="91"/>
      <c r="D108" s="91"/>
      <c r="E108" s="269"/>
      <c r="F108" s="270">
        <v>0</v>
      </c>
      <c r="G108" s="271"/>
      <c r="H108" s="271"/>
      <c r="I108" s="271"/>
      <c r="J108" s="272" t="e">
        <f t="shared" si="14"/>
        <v>#DIV/0!</v>
      </c>
      <c r="K108" s="262">
        <v>0</v>
      </c>
      <c r="L108" s="92">
        <f t="shared" si="15"/>
        <v>0</v>
      </c>
      <c r="M108" s="318" t="s">
        <v>42</v>
      </c>
      <c r="N108" s="319"/>
    </row>
    <row r="109" spans="2:14" s="75" customFormat="1" hidden="1">
      <c r="B109" s="192"/>
      <c r="C109" s="192"/>
      <c r="D109" s="192"/>
      <c r="E109" s="269"/>
      <c r="F109" s="270"/>
      <c r="G109" s="271"/>
      <c r="H109" s="271"/>
      <c r="I109" s="271"/>
      <c r="J109" s="272" t="e">
        <f t="shared" si="14"/>
        <v>#DIV/0!</v>
      </c>
      <c r="K109" s="262">
        <v>0</v>
      </c>
      <c r="L109" s="92">
        <f t="shared" si="15"/>
        <v>0</v>
      </c>
      <c r="M109" s="168" t="s">
        <v>39</v>
      </c>
      <c r="N109" s="167">
        <v>1</v>
      </c>
    </row>
    <row r="110" spans="2:14" s="75" customFormat="1" hidden="1">
      <c r="B110" s="192"/>
      <c r="C110" s="192"/>
      <c r="D110" s="192"/>
      <c r="E110" s="269"/>
      <c r="F110" s="270"/>
      <c r="G110" s="271"/>
      <c r="H110" s="271"/>
      <c r="I110" s="271"/>
      <c r="J110" s="272"/>
      <c r="K110" s="262"/>
      <c r="L110" s="92"/>
      <c r="M110" s="167" t="s">
        <v>43</v>
      </c>
      <c r="N110" s="167">
        <v>3.7850000000000001</v>
      </c>
    </row>
    <row r="111" spans="2:14" s="75" customFormat="1" hidden="1">
      <c r="B111" s="192"/>
      <c r="C111" s="192"/>
      <c r="D111" s="192"/>
      <c r="E111" s="269"/>
      <c r="F111" s="270"/>
      <c r="G111" s="271"/>
      <c r="H111" s="271"/>
      <c r="I111" s="271"/>
      <c r="J111" s="272"/>
      <c r="K111" s="262"/>
      <c r="L111" s="92"/>
      <c r="M111" s="324" t="s">
        <v>44</v>
      </c>
      <c r="N111" s="325"/>
    </row>
    <row r="112" spans="2:14" s="75" customFormat="1" ht="15" hidden="1" customHeight="1">
      <c r="B112" s="192"/>
      <c r="C112" s="192"/>
      <c r="D112" s="192"/>
      <c r="E112" s="269"/>
      <c r="F112" s="270"/>
      <c r="G112" s="271"/>
      <c r="H112" s="271"/>
      <c r="I112" s="271"/>
      <c r="J112" s="272"/>
      <c r="K112" s="262"/>
      <c r="L112" s="92"/>
      <c r="M112" s="321" t="s">
        <v>45</v>
      </c>
      <c r="N112" s="322"/>
    </row>
    <row r="113" spans="1:15" s="75" customFormat="1" hidden="1">
      <c r="B113" s="192"/>
      <c r="C113" s="192"/>
      <c r="D113" s="192"/>
      <c r="E113" s="269"/>
      <c r="F113" s="270"/>
      <c r="G113" s="271"/>
      <c r="H113" s="271"/>
      <c r="I113" s="271"/>
      <c r="J113" s="272"/>
      <c r="K113" s="262"/>
      <c r="L113" s="92"/>
      <c r="M113" s="326"/>
      <c r="N113" s="327"/>
    </row>
    <row r="114" spans="1:15" s="75" customFormat="1" hidden="1">
      <c r="B114" s="192"/>
      <c r="C114" s="192"/>
      <c r="D114" s="192"/>
      <c r="E114" s="269"/>
      <c r="F114" s="270"/>
      <c r="G114" s="271"/>
      <c r="H114" s="271"/>
      <c r="I114" s="271"/>
      <c r="J114" s="272"/>
      <c r="K114" s="262"/>
      <c r="L114" s="92"/>
      <c r="M114" s="324" t="s">
        <v>33</v>
      </c>
      <c r="N114" s="325"/>
    </row>
    <row r="115" spans="1:15" s="75" customFormat="1" hidden="1">
      <c r="B115" s="192"/>
      <c r="C115" s="192"/>
      <c r="D115" s="192"/>
      <c r="E115" s="269"/>
      <c r="F115" s="270"/>
      <c r="G115" s="271"/>
      <c r="H115" s="271"/>
      <c r="I115" s="271"/>
      <c r="J115" s="272"/>
      <c r="K115" s="262"/>
      <c r="L115" s="92"/>
      <c r="M115" s="167">
        <f>(40.6593)</f>
        <v>40.659300000000002</v>
      </c>
      <c r="N115" s="152" t="s">
        <v>104</v>
      </c>
    </row>
    <row r="116" spans="1:15" s="75" customFormat="1" hidden="1">
      <c r="B116" s="192"/>
      <c r="C116" s="192"/>
      <c r="D116" s="192"/>
      <c r="E116" s="269"/>
      <c r="F116" s="270"/>
      <c r="G116" s="271"/>
      <c r="H116" s="271"/>
      <c r="I116" s="271"/>
      <c r="J116" s="272"/>
      <c r="K116" s="262"/>
      <c r="L116" s="92"/>
      <c r="M116" s="318" t="s">
        <v>46</v>
      </c>
      <c r="N116" s="319"/>
    </row>
    <row r="117" spans="1:15" s="75" customFormat="1" ht="31.5" hidden="1" customHeight="1">
      <c r="B117" s="192"/>
      <c r="C117" s="192"/>
      <c r="D117" s="192"/>
      <c r="E117" s="269"/>
      <c r="F117" s="270"/>
      <c r="G117" s="271"/>
      <c r="H117" s="271"/>
      <c r="I117" s="271"/>
      <c r="J117" s="272"/>
      <c r="K117" s="262"/>
      <c r="L117" s="92"/>
      <c r="M117" s="321" t="s">
        <v>35</v>
      </c>
      <c r="N117" s="322"/>
    </row>
    <row r="118" spans="1:15" s="75" customFormat="1" hidden="1">
      <c r="B118" s="192"/>
      <c r="C118" s="192"/>
      <c r="D118" s="192"/>
      <c r="E118" s="269"/>
      <c r="F118" s="270"/>
      <c r="G118" s="271"/>
      <c r="H118" s="271"/>
      <c r="I118" s="271"/>
      <c r="J118" s="272"/>
      <c r="K118" s="262"/>
      <c r="L118" s="92"/>
      <c r="M118" s="323" t="s">
        <v>36</v>
      </c>
      <c r="N118" s="323"/>
    </row>
    <row r="119" spans="1:15" s="75" customFormat="1" hidden="1">
      <c r="B119" s="192"/>
      <c r="C119" s="192"/>
      <c r="D119" s="192"/>
      <c r="E119" s="269"/>
      <c r="F119" s="270"/>
      <c r="G119" s="271"/>
      <c r="H119" s="271"/>
      <c r="I119" s="271"/>
      <c r="J119" s="272"/>
      <c r="K119" s="262"/>
      <c r="L119" s="92"/>
      <c r="M119" s="167">
        <v>0.28000000000000003</v>
      </c>
      <c r="N119" s="152" t="s">
        <v>26</v>
      </c>
    </row>
    <row r="120" spans="1:15" s="75" customFormat="1" hidden="1">
      <c r="B120" s="192"/>
      <c r="C120" s="192"/>
      <c r="D120" s="192"/>
      <c r="E120" s="269"/>
      <c r="F120" s="270"/>
      <c r="G120" s="271"/>
      <c r="H120" s="271"/>
      <c r="I120" s="271"/>
      <c r="J120" s="272"/>
      <c r="K120" s="262"/>
      <c r="L120" s="92"/>
      <c r="M120" s="167">
        <v>1</v>
      </c>
      <c r="N120" s="152" t="s">
        <v>28</v>
      </c>
    </row>
    <row r="121" spans="1:15" s="75" customFormat="1" ht="15" hidden="1" customHeight="1">
      <c r="E121" s="96"/>
      <c r="F121" s="96"/>
      <c r="G121" s="96"/>
      <c r="H121" s="96"/>
      <c r="I121" s="96"/>
      <c r="J121" s="272"/>
      <c r="K121" s="262"/>
      <c r="L121" s="92"/>
      <c r="M121" s="328" t="s">
        <v>37</v>
      </c>
      <c r="N121" s="317" t="s">
        <v>38</v>
      </c>
    </row>
    <row r="122" spans="1:15" s="75" customFormat="1" hidden="1">
      <c r="B122" s="79" t="s">
        <v>9</v>
      </c>
      <c r="C122" s="79"/>
      <c r="D122" s="79"/>
      <c r="E122" s="79"/>
      <c r="F122" s="60">
        <f>+AVERAGE(F97:F120)</f>
        <v>0</v>
      </c>
      <c r="G122" s="60"/>
      <c r="H122" s="60"/>
      <c r="I122" s="60"/>
      <c r="J122" s="96"/>
      <c r="K122" s="96"/>
      <c r="L122" s="96"/>
      <c r="M122" s="328"/>
      <c r="N122" s="317"/>
    </row>
    <row r="123" spans="1:15" s="75" customFormat="1" hidden="1">
      <c r="B123" s="79" t="s">
        <v>23</v>
      </c>
      <c r="C123" s="79"/>
      <c r="D123" s="79"/>
      <c r="E123" s="79"/>
      <c r="F123" s="60">
        <f>+MAX(F97:F120)</f>
        <v>0</v>
      </c>
      <c r="G123" s="60"/>
      <c r="H123" s="60"/>
      <c r="I123" s="60"/>
      <c r="J123" s="60"/>
      <c r="K123" s="60">
        <f>+AVERAGE(K98:K121)</f>
        <v>0</v>
      </c>
      <c r="L123" s="60">
        <f t="shared" ref="L123" si="16">+AVERAGE(L98:L121)</f>
        <v>0</v>
      </c>
      <c r="M123" s="320" t="s">
        <v>105</v>
      </c>
      <c r="N123" s="317" t="s">
        <v>106</v>
      </c>
    </row>
    <row r="124" spans="1:15" s="75" customFormat="1" hidden="1">
      <c r="B124" s="79" t="s">
        <v>24</v>
      </c>
      <c r="C124" s="79"/>
      <c r="D124" s="79"/>
      <c r="E124" s="79"/>
      <c r="F124" s="60">
        <f>+MIN(F97:F120)</f>
        <v>0</v>
      </c>
      <c r="G124" s="60"/>
      <c r="H124" s="60"/>
      <c r="I124" s="60"/>
      <c r="J124" s="60"/>
      <c r="K124" s="60">
        <f>+MAX(K98:K121)</f>
        <v>0</v>
      </c>
      <c r="L124" s="60">
        <f t="shared" ref="L124" si="17">+MAX(L98:L121)</f>
        <v>0</v>
      </c>
      <c r="M124" s="320"/>
      <c r="N124" s="317"/>
    </row>
    <row r="125" spans="1:15" s="75" customFormat="1" hidden="1">
      <c r="B125" s="79" t="s">
        <v>95</v>
      </c>
      <c r="C125" s="79"/>
      <c r="D125" s="79"/>
      <c r="E125" s="79"/>
      <c r="F125" s="60">
        <f>+SUM(F97:F120)</f>
        <v>0</v>
      </c>
      <c r="G125" s="60"/>
      <c r="H125" s="60"/>
      <c r="I125" s="60"/>
      <c r="J125" s="60"/>
      <c r="K125" s="60">
        <f>+MIN(K98:K121)</f>
        <v>0</v>
      </c>
      <c r="L125" s="60">
        <f t="shared" ref="L125" si="18">+MIN(L98:L121)</f>
        <v>0</v>
      </c>
    </row>
    <row r="126" spans="1:15" hidden="1">
      <c r="B126" s="34"/>
      <c r="C126" s="34"/>
      <c r="D126" s="34"/>
      <c r="E126" s="34"/>
      <c r="F126" s="35"/>
      <c r="G126" s="35"/>
      <c r="H126" s="35"/>
      <c r="I126" s="35"/>
      <c r="J126" s="60"/>
      <c r="K126" s="60">
        <f>+SUM(K98:K109)</f>
        <v>0</v>
      </c>
      <c r="L126" s="60">
        <f t="shared" ref="L126" si="19">+SUM(L98:L121)</f>
        <v>0</v>
      </c>
      <c r="O126" s="36"/>
    </row>
    <row r="127" spans="1:15" hidden="1"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</row>
    <row r="128" spans="1:15">
      <c r="A128" s="35"/>
      <c r="D128" s="21"/>
      <c r="E128" s="236"/>
      <c r="F128" s="236"/>
      <c r="G128" s="236"/>
      <c r="H128" s="236"/>
      <c r="I128" s="236"/>
      <c r="J128" s="35"/>
      <c r="K128" s="35"/>
      <c r="L128" s="35"/>
    </row>
    <row r="129" spans="1:16">
      <c r="B129" s="343" t="s">
        <v>107</v>
      </c>
      <c r="C129" s="343"/>
      <c r="D129" s="237"/>
      <c r="E129" s="329" t="s">
        <v>189</v>
      </c>
      <c r="F129" s="330"/>
      <c r="G129" s="330"/>
      <c r="H129" s="330"/>
      <c r="I129" s="330"/>
      <c r="J129" s="330"/>
      <c r="K129" s="331"/>
      <c r="L129" s="274"/>
    </row>
    <row r="130" spans="1:16">
      <c r="B130" s="245" t="s">
        <v>5</v>
      </c>
      <c r="C130" s="95" t="s">
        <v>25</v>
      </c>
      <c r="D130" s="28"/>
      <c r="E130" s="247" t="s">
        <v>5</v>
      </c>
      <c r="F130" s="95" t="s">
        <v>191</v>
      </c>
      <c r="G130" s="260" t="s">
        <v>98</v>
      </c>
      <c r="H130" s="260" t="s">
        <v>96</v>
      </c>
      <c r="I130" s="260" t="s">
        <v>26</v>
      </c>
      <c r="J130" s="332" t="s">
        <v>165</v>
      </c>
      <c r="K130" s="333"/>
      <c r="L130" s="275"/>
    </row>
    <row r="131" spans="1:16">
      <c r="B131" s="186" t="s">
        <v>170</v>
      </c>
      <c r="C131" s="246">
        <v>1459</v>
      </c>
      <c r="D131" s="238"/>
      <c r="E131" s="186" t="s">
        <v>170</v>
      </c>
      <c r="F131" s="212">
        <v>2475</v>
      </c>
      <c r="G131" s="180">
        <v>4380.9036999999998</v>
      </c>
      <c r="H131" s="180">
        <f>F131*G131</f>
        <v>10842736.657499999</v>
      </c>
      <c r="I131" s="33">
        <f t="shared" ref="I131:I142" si="20">F131*$J$133*$J$138</f>
        <v>34002.252900000007</v>
      </c>
      <c r="J131" s="86"/>
      <c r="K131" s="87"/>
      <c r="L131" s="263"/>
    </row>
    <row r="132" spans="1:16">
      <c r="B132" s="186" t="s">
        <v>171</v>
      </c>
      <c r="C132" s="246">
        <v>1499</v>
      </c>
      <c r="D132" s="238"/>
      <c r="E132" s="186" t="s">
        <v>171</v>
      </c>
      <c r="F132" s="212">
        <v>3465</v>
      </c>
      <c r="G132" s="180">
        <v>3351.4222</v>
      </c>
      <c r="H132" s="180">
        <f t="shared" ref="H132:H142" si="21">F132*G132</f>
        <v>11612677.923</v>
      </c>
      <c r="I132" s="33">
        <f t="shared" si="20"/>
        <v>47603.154060000001</v>
      </c>
      <c r="J132" s="324" t="s">
        <v>33</v>
      </c>
      <c r="K132" s="325"/>
      <c r="L132" s="77"/>
    </row>
    <row r="133" spans="1:16">
      <c r="B133" s="186" t="s">
        <v>172</v>
      </c>
      <c r="C133" s="246">
        <v>1547</v>
      </c>
      <c r="D133" s="238"/>
      <c r="E133" s="186" t="s">
        <v>172</v>
      </c>
      <c r="F133" s="212">
        <v>3060</v>
      </c>
      <c r="G133" s="180">
        <v>3524.7298000000001</v>
      </c>
      <c r="H133" s="180">
        <f t="shared" si="21"/>
        <v>10785673.188000001</v>
      </c>
      <c r="I133" s="33">
        <f t="shared" si="20"/>
        <v>42039.149040000004</v>
      </c>
      <c r="J133" s="165">
        <v>49.065300000000001</v>
      </c>
      <c r="K133" s="166" t="s">
        <v>104</v>
      </c>
      <c r="L133" s="263"/>
    </row>
    <row r="134" spans="1:16">
      <c r="B134" s="186" t="s">
        <v>173</v>
      </c>
      <c r="C134" s="246">
        <v>990</v>
      </c>
      <c r="D134" s="238"/>
      <c r="E134" s="186" t="s">
        <v>173</v>
      </c>
      <c r="F134" s="212">
        <v>2730</v>
      </c>
      <c r="G134" s="180">
        <v>3657.2447000000002</v>
      </c>
      <c r="H134" s="180">
        <f t="shared" si="21"/>
        <v>9984278.0310000014</v>
      </c>
      <c r="I134" s="33">
        <f t="shared" si="20"/>
        <v>37505.515320000006</v>
      </c>
      <c r="J134" s="318" t="s">
        <v>34</v>
      </c>
      <c r="K134" s="319"/>
      <c r="L134" s="276"/>
    </row>
    <row r="135" spans="1:16" ht="15" customHeight="1">
      <c r="B135" s="186" t="s">
        <v>174</v>
      </c>
      <c r="C135" s="246">
        <v>1220</v>
      </c>
      <c r="D135" s="238"/>
      <c r="E135" s="186" t="s">
        <v>174</v>
      </c>
      <c r="F135" s="212">
        <v>2745</v>
      </c>
      <c r="G135" s="180">
        <v>3718.5065</v>
      </c>
      <c r="H135" s="180">
        <f t="shared" si="21"/>
        <v>10207300.342499999</v>
      </c>
      <c r="I135" s="33">
        <f t="shared" si="20"/>
        <v>37711.589580000007</v>
      </c>
      <c r="J135" s="321" t="s">
        <v>35</v>
      </c>
      <c r="K135" s="322"/>
      <c r="L135" s="273"/>
    </row>
    <row r="136" spans="1:16" ht="15" customHeight="1">
      <c r="B136" s="186" t="s">
        <v>175</v>
      </c>
      <c r="C136" s="246">
        <v>855</v>
      </c>
      <c r="D136" s="238"/>
      <c r="E136" s="186" t="s">
        <v>175</v>
      </c>
      <c r="F136" s="212">
        <v>2460</v>
      </c>
      <c r="G136" s="180">
        <v>3651.5317</v>
      </c>
      <c r="H136" s="180">
        <f t="shared" si="21"/>
        <v>8982767.9820000008</v>
      </c>
      <c r="I136" s="33">
        <f t="shared" si="20"/>
        <v>33796.178640000006</v>
      </c>
      <c r="J136" s="326"/>
      <c r="K136" s="327"/>
      <c r="L136" s="273"/>
    </row>
    <row r="137" spans="1:16">
      <c r="B137" s="186" t="s">
        <v>176</v>
      </c>
      <c r="C137" s="246">
        <v>1412</v>
      </c>
      <c r="D137" s="238"/>
      <c r="E137" s="186" t="s">
        <v>176</v>
      </c>
      <c r="F137" s="212"/>
      <c r="G137" s="180"/>
      <c r="H137" s="180">
        <f t="shared" si="21"/>
        <v>0</v>
      </c>
      <c r="I137" s="33">
        <f t="shared" si="20"/>
        <v>0</v>
      </c>
      <c r="J137" s="318" t="s">
        <v>36</v>
      </c>
      <c r="K137" s="319"/>
      <c r="L137" s="276"/>
    </row>
    <row r="138" spans="1:16">
      <c r="B138" s="186" t="s">
        <v>177</v>
      </c>
      <c r="C138" s="246">
        <v>1491</v>
      </c>
      <c r="D138" s="238"/>
      <c r="E138" s="186" t="s">
        <v>177</v>
      </c>
      <c r="F138" s="212">
        <v>7200</v>
      </c>
      <c r="G138" s="180">
        <v>3774.4568749999999</v>
      </c>
      <c r="H138" s="180">
        <f t="shared" si="21"/>
        <v>27176089.5</v>
      </c>
      <c r="I138" s="33">
        <f t="shared" si="20"/>
        <v>98915.644800000024</v>
      </c>
      <c r="J138" s="172">
        <v>0.28000000000000003</v>
      </c>
      <c r="K138" s="166" t="s">
        <v>26</v>
      </c>
      <c r="L138" s="263"/>
    </row>
    <row r="139" spans="1:16">
      <c r="B139" s="186" t="s">
        <v>178</v>
      </c>
      <c r="C139" s="246">
        <v>1443</v>
      </c>
      <c r="D139" s="238"/>
      <c r="E139" s="186" t="s">
        <v>178</v>
      </c>
      <c r="F139" s="212">
        <v>4095</v>
      </c>
      <c r="G139" s="180">
        <v>4109.6102000000001</v>
      </c>
      <c r="H139" s="180">
        <f t="shared" si="21"/>
        <v>16828853.769000001</v>
      </c>
      <c r="I139" s="33">
        <f t="shared" si="20"/>
        <v>56258.272980000009</v>
      </c>
      <c r="J139" s="172">
        <v>1</v>
      </c>
      <c r="K139" s="166" t="s">
        <v>28</v>
      </c>
      <c r="L139" s="263"/>
    </row>
    <row r="140" spans="1:16">
      <c r="A140" s="21"/>
      <c r="B140" s="186" t="s">
        <v>179</v>
      </c>
      <c r="C140" s="246">
        <v>1726</v>
      </c>
      <c r="D140" s="238"/>
      <c r="E140" s="186" t="s">
        <v>179</v>
      </c>
      <c r="F140" s="212">
        <v>3960</v>
      </c>
      <c r="G140" s="180">
        <v>4211.7825999999995</v>
      </c>
      <c r="H140" s="180">
        <f t="shared" si="21"/>
        <v>16678659.095999999</v>
      </c>
      <c r="I140" s="33">
        <f t="shared" si="20"/>
        <v>54403.604640000005</v>
      </c>
      <c r="J140" s="250"/>
      <c r="K140" s="251"/>
      <c r="L140" s="77"/>
    </row>
    <row r="141" spans="1:16">
      <c r="B141" s="186" t="s">
        <v>180</v>
      </c>
      <c r="C141" s="246">
        <v>1525</v>
      </c>
      <c r="D141" s="238"/>
      <c r="E141" s="186" t="s">
        <v>180</v>
      </c>
      <c r="F141" s="212">
        <v>3885</v>
      </c>
      <c r="G141" s="180">
        <v>4394.4795000000004</v>
      </c>
      <c r="H141" s="180">
        <f t="shared" si="21"/>
        <v>17072552.857500002</v>
      </c>
      <c r="I141" s="33">
        <f t="shared" si="20"/>
        <v>53373.233340000006</v>
      </c>
      <c r="J141" s="248"/>
      <c r="K141" s="249"/>
      <c r="L141" s="261"/>
      <c r="N141" s="36"/>
      <c r="O141" s="36"/>
      <c r="P141" s="36"/>
    </row>
    <row r="142" spans="1:16">
      <c r="B142" s="186" t="s">
        <v>181</v>
      </c>
      <c r="C142" s="246">
        <v>1535</v>
      </c>
      <c r="D142" s="238"/>
      <c r="E142" s="186" t="s">
        <v>181</v>
      </c>
      <c r="F142" s="212">
        <v>3540</v>
      </c>
      <c r="G142" s="180">
        <v>4313.1513999999997</v>
      </c>
      <c r="H142" s="180">
        <f t="shared" si="21"/>
        <v>15268555.955999998</v>
      </c>
      <c r="I142" s="33">
        <f t="shared" si="20"/>
        <v>48633.525360000007</v>
      </c>
      <c r="J142" s="87"/>
      <c r="K142" s="87"/>
      <c r="L142" s="263"/>
      <c r="N142" s="36"/>
      <c r="O142" s="36"/>
      <c r="P142" s="36"/>
    </row>
    <row r="143" spans="1:16">
      <c r="B143" s="193"/>
      <c r="C143" s="246"/>
      <c r="D143" s="238"/>
      <c r="E143" s="238"/>
      <c r="F143" s="238"/>
      <c r="G143" s="236"/>
      <c r="H143" s="70"/>
      <c r="I143" s="236"/>
      <c r="J143" s="236"/>
      <c r="K143" s="236"/>
      <c r="L143" s="236"/>
      <c r="N143" s="36"/>
      <c r="O143" s="278"/>
      <c r="P143" s="278"/>
    </row>
    <row r="144" spans="1:16">
      <c r="B144" s="193"/>
      <c r="C144" s="246"/>
      <c r="D144" s="238"/>
      <c r="E144" s="264"/>
      <c r="F144" s="73"/>
      <c r="G144" s="236"/>
      <c r="H144" s="265"/>
      <c r="I144" s="265"/>
      <c r="J144" s="236"/>
      <c r="K144" s="236"/>
      <c r="L144" s="236"/>
      <c r="N144" s="36"/>
      <c r="O144" s="278"/>
      <c r="P144" s="278"/>
    </row>
    <row r="145" spans="1:16">
      <c r="B145" s="2"/>
      <c r="C145" s="2"/>
      <c r="D145" s="236"/>
      <c r="E145" s="264"/>
      <c r="F145" s="73"/>
      <c r="G145" s="236"/>
      <c r="H145" s="265"/>
      <c r="I145" s="265"/>
      <c r="J145" s="236"/>
      <c r="K145" s="236"/>
      <c r="L145" s="236"/>
      <c r="N145" s="36"/>
      <c r="O145" s="36"/>
      <c r="P145" s="36"/>
    </row>
    <row r="146" spans="1:16">
      <c r="A146" s="2"/>
      <c r="B146" s="79" t="s">
        <v>9</v>
      </c>
      <c r="C146" s="60">
        <f>+AVERAGE(C131:C144)</f>
        <v>1391.8333333333333</v>
      </c>
      <c r="D146" s="73"/>
      <c r="E146" s="79" t="s">
        <v>9</v>
      </c>
      <c r="F146" s="60">
        <f>AVERAGE(F131:F142)</f>
        <v>3601.3636363636365</v>
      </c>
      <c r="G146" s="60">
        <f t="shared" ref="G146:I146" si="22">AVERAGE(G131:G142)</f>
        <v>3917.0744704545459</v>
      </c>
      <c r="H146" s="60">
        <f t="shared" si="22"/>
        <v>12953345.441875001</v>
      </c>
      <c r="I146" s="60">
        <f t="shared" si="22"/>
        <v>45353.510054999999</v>
      </c>
      <c r="J146" s="236"/>
      <c r="K146" s="236"/>
      <c r="L146" s="236"/>
      <c r="N146" s="36"/>
      <c r="O146" s="36"/>
      <c r="P146" s="36"/>
    </row>
    <row r="147" spans="1:16">
      <c r="B147" s="79" t="s">
        <v>23</v>
      </c>
      <c r="C147" s="60">
        <f>+MAX(C131:C144)</f>
        <v>1726</v>
      </c>
      <c r="D147" s="73"/>
      <c r="E147" s="79" t="s">
        <v>23</v>
      </c>
      <c r="F147" s="60">
        <f>MAX(F131:F142)</f>
        <v>7200</v>
      </c>
      <c r="G147" s="60">
        <f t="shared" ref="G147:I147" si="23">MAX(G131:G142)</f>
        <v>4394.4795000000004</v>
      </c>
      <c r="H147" s="60">
        <f t="shared" si="23"/>
        <v>27176089.5</v>
      </c>
      <c r="I147" s="60">
        <f t="shared" si="23"/>
        <v>98915.644800000024</v>
      </c>
      <c r="J147" s="236"/>
      <c r="K147" s="236"/>
      <c r="L147" s="236"/>
      <c r="N147" s="36"/>
      <c r="O147" s="36"/>
      <c r="P147" s="36"/>
    </row>
    <row r="148" spans="1:16">
      <c r="B148" s="79" t="s">
        <v>24</v>
      </c>
      <c r="C148" s="60">
        <f>+MIN(C131:C144)</f>
        <v>855</v>
      </c>
      <c r="D148" s="73"/>
      <c r="E148" s="79" t="s">
        <v>24</v>
      </c>
      <c r="F148" s="60">
        <f>MIN(F131:F142)</f>
        <v>2460</v>
      </c>
      <c r="G148" s="60">
        <f t="shared" ref="G148:I148" si="24">MIN(G131:G142)</f>
        <v>3351.4222</v>
      </c>
      <c r="H148" s="60">
        <f t="shared" si="24"/>
        <v>0</v>
      </c>
      <c r="I148" s="60">
        <f t="shared" si="24"/>
        <v>0</v>
      </c>
    </row>
    <row r="149" spans="1:16">
      <c r="B149" s="79" t="s">
        <v>95</v>
      </c>
      <c r="C149" s="98">
        <f>SUM(C131:C144)</f>
        <v>16702</v>
      </c>
      <c r="D149" s="239"/>
      <c r="E149" s="79" t="s">
        <v>95</v>
      </c>
      <c r="F149" s="277">
        <f>SUM(F131:F142)</f>
        <v>39615</v>
      </c>
      <c r="G149" s="277">
        <f t="shared" ref="G149:I149" si="25">SUM(G131:G142)</f>
        <v>43087.819175000004</v>
      </c>
      <c r="H149" s="277">
        <f t="shared" si="25"/>
        <v>155440145.30250001</v>
      </c>
      <c r="I149" s="277">
        <f t="shared" si="25"/>
        <v>544242.12066000002</v>
      </c>
    </row>
    <row r="150" spans="1:16">
      <c r="D150" s="236"/>
      <c r="E150" s="236"/>
      <c r="F150" s="236"/>
      <c r="G150" s="236"/>
      <c r="H150" s="236"/>
      <c r="I150" s="236"/>
    </row>
  </sheetData>
  <mergeCells count="75">
    <mergeCell ref="J43:K43"/>
    <mergeCell ref="J41:K41"/>
    <mergeCell ref="J50:K50"/>
    <mergeCell ref="J49:K49"/>
    <mergeCell ref="J44:K45"/>
    <mergeCell ref="M97:N97"/>
    <mergeCell ref="M98:N98"/>
    <mergeCell ref="M99:N99"/>
    <mergeCell ref="B129:C129"/>
    <mergeCell ref="J46:K46"/>
    <mergeCell ref="G65:H65"/>
    <mergeCell ref="G68:H68"/>
    <mergeCell ref="G83:H83"/>
    <mergeCell ref="G82:H82"/>
    <mergeCell ref="G71:H72"/>
    <mergeCell ref="G77:H78"/>
    <mergeCell ref="G79:H79"/>
    <mergeCell ref="G73:H73"/>
    <mergeCell ref="G70:H70"/>
    <mergeCell ref="G63:H63"/>
    <mergeCell ref="G64:H64"/>
    <mergeCell ref="J39:K39"/>
    <mergeCell ref="L24:M24"/>
    <mergeCell ref="L25:M25"/>
    <mergeCell ref="L26:M26"/>
    <mergeCell ref="L27:M27"/>
    <mergeCell ref="J38:K38"/>
    <mergeCell ref="B36:K36"/>
    <mergeCell ref="J37:K37"/>
    <mergeCell ref="B2:M2"/>
    <mergeCell ref="L6:M6"/>
    <mergeCell ref="L7:M7"/>
    <mergeCell ref="L8:M8"/>
    <mergeCell ref="L18:M18"/>
    <mergeCell ref="L3:M3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L19:M19"/>
    <mergeCell ref="L20:M20"/>
    <mergeCell ref="L21:M21"/>
    <mergeCell ref="L22:M22"/>
    <mergeCell ref="L23:M23"/>
    <mergeCell ref="J137:K137"/>
    <mergeCell ref="N121:N122"/>
    <mergeCell ref="N123:N124"/>
    <mergeCell ref="M121:M122"/>
    <mergeCell ref="M123:M124"/>
    <mergeCell ref="E129:K129"/>
    <mergeCell ref="J130:K130"/>
    <mergeCell ref="J132:K132"/>
    <mergeCell ref="J134:K134"/>
    <mergeCell ref="J135:K136"/>
    <mergeCell ref="M117:N117"/>
    <mergeCell ref="M118:N118"/>
    <mergeCell ref="M116:N116"/>
    <mergeCell ref="M105:N105"/>
    <mergeCell ref="M100:N100"/>
    <mergeCell ref="M103:N103"/>
    <mergeCell ref="M114:N114"/>
    <mergeCell ref="M106:N107"/>
    <mergeCell ref="M108:N108"/>
    <mergeCell ref="M111:N111"/>
    <mergeCell ref="M112:N113"/>
    <mergeCell ref="G88:H88"/>
    <mergeCell ref="G87:H87"/>
    <mergeCell ref="G89:H89"/>
    <mergeCell ref="G81:H81"/>
    <mergeCell ref="G86:H86"/>
  </mergeCells>
  <phoneticPr fontId="22" type="noConversion"/>
  <hyperlinks>
    <hyperlink ref="J44" r:id="rId1" xr:uid="{00000000-0004-0000-0400-000000000000}"/>
    <hyperlink ref="G71" r:id="rId2" xr:uid="{00000000-0004-0000-0400-000001000000}"/>
    <hyperlink ref="N123" r:id="rId3" xr:uid="{00000000-0004-0000-0400-000002000000}"/>
    <hyperlink ref="G82" r:id="rId4" xr:uid="{00000000-0004-0000-0400-000003000000}"/>
    <hyperlink ref="G77" r:id="rId5" location="q=galones+a+litros&amp;*" xr:uid="{00000000-0004-0000-0400-000004000000}"/>
    <hyperlink ref="G89" r:id="rId6" xr:uid="{00000000-0004-0000-0400-000005000000}"/>
    <hyperlink ref="M112" r:id="rId7" location="q=galones+a+litros&amp;*" xr:uid="{00000000-0004-0000-0400-000006000000}"/>
    <hyperlink ref="M106" r:id="rId8" xr:uid="{00000000-0004-0000-0400-000007000000}"/>
    <hyperlink ref="J135" r:id="rId9" xr:uid="{32C3D5A4-7E81-4881-A353-4D09F6F3C5C1}"/>
  </hyperlinks>
  <pageMargins left="0.7" right="0.7" top="0.75" bottom="0.75" header="0.3" footer="0.3"/>
  <pageSetup orientation="portrait" r:id="rId10"/>
  <ignoredErrors>
    <ignoredError sqref="K29:K31 F30:F32 F54:F57 J123:L125 J92 J126 L126 C147:C148 F122:F125" unlockedFormula="1"/>
  </ignoredErrors>
  <drawing r:id="rId11"/>
  <legacyDrawing r:id="rId1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J44"/>
  <sheetViews>
    <sheetView topLeftCell="B18" zoomScale="70" zoomScaleNormal="70" workbookViewId="0">
      <selection activeCell="F4" sqref="F4"/>
    </sheetView>
  </sheetViews>
  <sheetFormatPr defaultColWidth="11.42578125" defaultRowHeight="15"/>
  <cols>
    <col min="1" max="1" width="35.85546875" style="75" customWidth="1"/>
    <col min="2" max="2" width="28.85546875" style="75" customWidth="1"/>
    <col min="3" max="5" width="25.42578125" style="75" customWidth="1"/>
    <col min="6" max="6" width="15.28515625" style="75" customWidth="1"/>
    <col min="7" max="7" width="15.85546875" style="75" customWidth="1"/>
    <col min="8" max="8" width="15.85546875" style="75" bestFit="1" customWidth="1"/>
    <col min="9" max="9" width="11.5703125" style="75" bestFit="1" customWidth="1"/>
    <col min="10" max="10" width="14.85546875" style="75" customWidth="1"/>
    <col min="11" max="11" width="23.28515625" style="75" bestFit="1" customWidth="1"/>
    <col min="12" max="12" width="21" style="75" customWidth="1"/>
    <col min="13" max="13" width="16.85546875" style="75" customWidth="1"/>
    <col min="14" max="16384" width="11.42578125" style="75"/>
  </cols>
  <sheetData>
    <row r="1" spans="1:36" ht="31.5" customHeight="1">
      <c r="M1" s="96"/>
    </row>
    <row r="2" spans="1:36" ht="18.75">
      <c r="A2" s="336" t="s">
        <v>108</v>
      </c>
      <c r="B2" s="336"/>
      <c r="C2" s="336"/>
      <c r="D2" s="336"/>
      <c r="E2" s="336"/>
      <c r="F2" s="336"/>
      <c r="H2" s="99"/>
      <c r="I2" s="99"/>
      <c r="J2" s="99"/>
      <c r="K2" s="100"/>
      <c r="L2" s="100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97"/>
    </row>
    <row r="3" spans="1:36">
      <c r="A3" s="76" t="s">
        <v>5</v>
      </c>
      <c r="B3" s="132" t="str">
        <f>+'CONSUMOS Y PRODUCCIÓN'!B2</f>
        <v>ENERGÍA ELÉCTRICA</v>
      </c>
      <c r="C3" s="132" t="s">
        <v>160</v>
      </c>
      <c r="D3" s="253" t="s">
        <v>27</v>
      </c>
      <c r="E3" s="253" t="s">
        <v>192</v>
      </c>
      <c r="F3" s="76" t="s">
        <v>47</v>
      </c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</row>
    <row r="4" spans="1:36">
      <c r="A4" s="101" t="str">
        <f>+'CONSUMOS Y PRODUCCIÓN'!B4</f>
        <v>Enero</v>
      </c>
      <c r="B4" s="102">
        <f>'CONSUMOS Y PRODUCCIÓN'!F4</f>
        <v>644837.44999999995</v>
      </c>
      <c r="C4" s="94">
        <f>+'CONSUMOS Y PRODUCCIÓN'!I38</f>
        <v>54990.838000000003</v>
      </c>
      <c r="D4" s="94">
        <f>'CONSUMOS Y PRODUCCIÓN'!F63</f>
        <v>8597.6679048750011</v>
      </c>
      <c r="E4" s="94">
        <f>'CONSUMOS Y PRODUCCIÓN'!I131</f>
        <v>34002.252900000007</v>
      </c>
      <c r="F4" s="94">
        <f>+SUM(B4:E4)</f>
        <v>742428.20880487491</v>
      </c>
      <c r="H4" s="97"/>
      <c r="I4" s="103"/>
      <c r="J4" s="104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</row>
    <row r="5" spans="1:36">
      <c r="A5" s="101" t="str">
        <f>+'CONSUMOS Y PRODUCCIÓN'!B5</f>
        <v>Febrero</v>
      </c>
      <c r="B5" s="102">
        <f>'CONSUMOS Y PRODUCCIÓN'!F5</f>
        <v>673039.01</v>
      </c>
      <c r="C5" s="94">
        <f>+'CONSUMOS Y PRODUCCIÓN'!I39</f>
        <v>46126.822</v>
      </c>
      <c r="D5" s="94">
        <f>'CONSUMOS Y PRODUCCIÓN'!F64</f>
        <v>2980.5248736900007</v>
      </c>
      <c r="E5" s="94">
        <f>'CONSUMOS Y PRODUCCIÓN'!I132</f>
        <v>47603.154060000001</v>
      </c>
      <c r="F5" s="94">
        <f t="shared" ref="F5:F15" si="0">+SUM(B5:E5)</f>
        <v>769749.51093369001</v>
      </c>
      <c r="H5" s="97"/>
      <c r="I5" s="103"/>
      <c r="J5" s="104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</row>
    <row r="6" spans="1:36">
      <c r="A6" s="101" t="str">
        <f>+'CONSUMOS Y PRODUCCIÓN'!B6</f>
        <v>Marzo</v>
      </c>
      <c r="B6" s="102">
        <f>'CONSUMOS Y PRODUCCIÓN'!F6</f>
        <v>742199.91999999993</v>
      </c>
      <c r="C6" s="94">
        <f>+'CONSUMOS Y PRODUCCIÓN'!I40</f>
        <v>57476.356</v>
      </c>
      <c r="D6" s="94">
        <f>'CONSUMOS Y PRODUCCIÓN'!F65</f>
        <v>4432.5754531800003</v>
      </c>
      <c r="E6" s="94">
        <f>'CONSUMOS Y PRODUCCIÓN'!I133</f>
        <v>42039.149040000004</v>
      </c>
      <c r="F6" s="94">
        <f t="shared" si="0"/>
        <v>846148.00049318001</v>
      </c>
      <c r="H6" s="97"/>
      <c r="I6" s="103"/>
      <c r="J6" s="104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</row>
    <row r="7" spans="1:36" ht="18">
      <c r="A7" s="101" t="str">
        <f>+'CONSUMOS Y PRODUCCIÓN'!B7</f>
        <v>Abril</v>
      </c>
      <c r="B7" s="102">
        <f>'CONSUMOS Y PRODUCCIÓN'!F7</f>
        <v>510346.82999999996</v>
      </c>
      <c r="C7" s="94">
        <f>+'CONSUMOS Y PRODUCCIÓN'!I41</f>
        <v>65441.992000000006</v>
      </c>
      <c r="D7" s="94">
        <f>'CONSUMOS Y PRODUCCIÓN'!F66</f>
        <v>917.08457652000016</v>
      </c>
      <c r="E7" s="94">
        <f>'CONSUMOS Y PRODUCCIÓN'!I134</f>
        <v>37505.515320000006</v>
      </c>
      <c r="F7" s="94">
        <f t="shared" si="0"/>
        <v>614211.42189651995</v>
      </c>
      <c r="H7" s="97"/>
      <c r="I7" s="103"/>
      <c r="J7" s="104"/>
      <c r="K7" s="105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</row>
    <row r="8" spans="1:36">
      <c r="A8" s="101" t="str">
        <f>+'CONSUMOS Y PRODUCCIÓN'!B8</f>
        <v>Mayo</v>
      </c>
      <c r="B8" s="102">
        <f>'CONSUMOS Y PRODUCCIÓN'!F8</f>
        <v>589417.18999999994</v>
      </c>
      <c r="C8" s="94">
        <f>+'CONSUMOS Y PRODUCCIÓN'!I42</f>
        <v>59842.090000000004</v>
      </c>
      <c r="D8" s="94">
        <f>'CONSUMOS Y PRODUCCIÓN'!F67</f>
        <v>0</v>
      </c>
      <c r="E8" s="94">
        <f>'CONSUMOS Y PRODUCCIÓN'!I135</f>
        <v>37711.589580000007</v>
      </c>
      <c r="F8" s="94">
        <f t="shared" si="0"/>
        <v>686970.86957999994</v>
      </c>
      <c r="H8" s="97"/>
      <c r="I8" s="103"/>
      <c r="J8" s="104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  <c r="AH8" s="97"/>
      <c r="AI8" s="97"/>
      <c r="AJ8" s="97"/>
    </row>
    <row r="9" spans="1:36">
      <c r="A9" s="101" t="str">
        <f>+'CONSUMOS Y PRODUCCIÓN'!B9</f>
        <v>Junio</v>
      </c>
      <c r="B9" s="102">
        <f>'CONSUMOS Y PRODUCCIÓN'!F9</f>
        <v>416692.83999999997</v>
      </c>
      <c r="C9" s="94">
        <f>+'CONSUMOS Y PRODUCCIÓN'!I43</f>
        <v>39239.242000000006</v>
      </c>
      <c r="D9" s="94">
        <f>'CONSUMOS Y PRODUCCIÓN'!F68</f>
        <v>573.1778603250001</v>
      </c>
      <c r="E9" s="94">
        <f>'CONSUMOS Y PRODUCCIÓN'!I136</f>
        <v>33796.178640000006</v>
      </c>
      <c r="F9" s="94">
        <f t="shared" si="0"/>
        <v>490301.43850032502</v>
      </c>
      <c r="H9" s="97"/>
      <c r="I9" s="103"/>
      <c r="J9" s="104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</row>
    <row r="10" spans="1:36">
      <c r="A10" s="101" t="str">
        <f>+'CONSUMOS Y PRODUCCIÓN'!B10</f>
        <v>Julio</v>
      </c>
      <c r="B10" s="102">
        <f>'CONSUMOS Y PRODUCCIÓN'!F10</f>
        <v>659096.22</v>
      </c>
      <c r="C10" s="94">
        <f>+'CONSUMOS Y PRODUCCIÓN'!I44</f>
        <v>79157.260000000009</v>
      </c>
      <c r="D10" s="94">
        <f>'CONSUMOS Y PRODUCCIÓN'!F69</f>
        <v>6037.4734620900008</v>
      </c>
      <c r="E10" s="94">
        <f>'CONSUMOS Y PRODUCCIÓN'!I137</f>
        <v>0</v>
      </c>
      <c r="F10" s="94">
        <f t="shared" si="0"/>
        <v>744290.95346208999</v>
      </c>
      <c r="H10" s="97"/>
      <c r="I10" s="103"/>
      <c r="J10" s="104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</row>
    <row r="11" spans="1:36">
      <c r="A11" s="101" t="str">
        <f>+'CONSUMOS Y PRODUCCIÓN'!B11</f>
        <v>Agosto</v>
      </c>
      <c r="B11" s="102">
        <f>'CONSUMOS Y PRODUCCIÓN'!F11</f>
        <v>652987.49</v>
      </c>
      <c r="C11" s="94">
        <f>+'CONSUMOS Y PRODUCCIÓN'!I45</f>
        <v>74365.900000000009</v>
      </c>
      <c r="D11" s="94">
        <f>'CONSUMOS Y PRODUCCIÓN'!F70</f>
        <v>0</v>
      </c>
      <c r="E11" s="94">
        <f>'CONSUMOS Y PRODUCCIÓN'!I138</f>
        <v>98915.644800000024</v>
      </c>
      <c r="F11" s="94">
        <f t="shared" si="0"/>
        <v>826269.03480000002</v>
      </c>
      <c r="H11" s="97"/>
      <c r="I11" s="103"/>
      <c r="J11" s="104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  <c r="AH11" s="97"/>
      <c r="AI11" s="97"/>
      <c r="AJ11" s="97"/>
    </row>
    <row r="12" spans="1:36">
      <c r="A12" s="101" t="str">
        <f>+'CONSUMOS Y PRODUCCIÓN'!B12</f>
        <v>Septiembre</v>
      </c>
      <c r="B12" s="102">
        <f>'CONSUMOS Y PRODUCCIÓN'!F12</f>
        <v>692326.39</v>
      </c>
      <c r="C12" s="94">
        <f>+'CONSUMOS Y PRODUCCIÓN'!I46</f>
        <v>85246.280000000013</v>
      </c>
      <c r="D12" s="94">
        <f>'CONSUMOS Y PRODUCCIÓN'!F71</f>
        <v>0</v>
      </c>
      <c r="E12" s="94">
        <f>'CONSUMOS Y PRODUCCIÓN'!I139</f>
        <v>56258.272980000009</v>
      </c>
      <c r="F12" s="94">
        <f t="shared" si="0"/>
        <v>833830.94298000005</v>
      </c>
      <c r="H12" s="97"/>
      <c r="I12" s="103"/>
      <c r="J12" s="104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7"/>
    </row>
    <row r="13" spans="1:36">
      <c r="A13" s="101" t="str">
        <f>+'CONSUMOS Y PRODUCCIÓN'!B13</f>
        <v>Octubre</v>
      </c>
      <c r="B13" s="102">
        <f>'CONSUMOS Y PRODUCCIÓN'!F13</f>
        <v>780657.88</v>
      </c>
      <c r="C13" s="94">
        <f>+'CONSUMOS Y PRODUCCIÓN'!I47</f>
        <v>70113.567999999999</v>
      </c>
      <c r="D13" s="94">
        <f>'CONSUMOS Y PRODUCCIÓN'!F72</f>
        <v>0</v>
      </c>
      <c r="E13" s="94">
        <f>'CONSUMOS Y PRODUCCIÓN'!I140</f>
        <v>54403.604640000005</v>
      </c>
      <c r="F13" s="94">
        <f t="shared" si="0"/>
        <v>905175.05264000001</v>
      </c>
      <c r="H13" s="97"/>
      <c r="I13" s="103"/>
      <c r="J13" s="104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</row>
    <row r="14" spans="1:36">
      <c r="A14" s="101" t="str">
        <f>+'CONSUMOS Y PRODUCCIÓN'!B14</f>
        <v>Noviembre</v>
      </c>
      <c r="B14" s="102">
        <f>'CONSUMOS Y PRODUCCIÓN'!F14</f>
        <v>738073.57000000007</v>
      </c>
      <c r="C14" s="94">
        <f>+'CONSUMOS Y PRODUCCIÓN'!I48</f>
        <v>73307.808000000005</v>
      </c>
      <c r="D14" s="94">
        <f>'CONSUMOS Y PRODUCCIÓN'!F73</f>
        <v>19488.047251050004</v>
      </c>
      <c r="E14" s="94">
        <f>'CONSUMOS Y PRODUCCIÓN'!I141</f>
        <v>53373.233340000006</v>
      </c>
      <c r="F14" s="94">
        <f t="shared" si="0"/>
        <v>884242.65859105007</v>
      </c>
      <c r="H14" s="97"/>
      <c r="I14" s="103"/>
      <c r="J14" s="104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  <c r="AH14" s="97"/>
      <c r="AI14" s="97"/>
      <c r="AJ14" s="97"/>
    </row>
    <row r="15" spans="1:36">
      <c r="A15" s="101" t="str">
        <f>+'CONSUMOS Y PRODUCCIÓN'!B15</f>
        <v>Diciembre</v>
      </c>
      <c r="B15" s="102">
        <f>'CONSUMOS Y PRODUCCIÓN'!F15</f>
        <v>703026.40999999992</v>
      </c>
      <c r="C15" s="94">
        <f>+'CONSUMOS Y PRODUCCIÓN'!I49</f>
        <v>50049.748000000007</v>
      </c>
      <c r="D15" s="94">
        <f>'CONSUMOS Y PRODUCCIÓN'!F74</f>
        <v>6343.1683209300027</v>
      </c>
      <c r="E15" s="94">
        <f>'CONSUMOS Y PRODUCCIÓN'!I142</f>
        <v>48633.525360000007</v>
      </c>
      <c r="F15" s="94">
        <f t="shared" si="0"/>
        <v>808052.85168092989</v>
      </c>
      <c r="H15" s="97"/>
      <c r="I15" s="103"/>
      <c r="J15" s="104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  <c r="AH15" s="97"/>
      <c r="AI15" s="97"/>
      <c r="AJ15" s="97"/>
    </row>
    <row r="16" spans="1:36">
      <c r="A16" s="101"/>
      <c r="B16" s="102"/>
      <c r="C16" s="94"/>
      <c r="D16" s="94"/>
      <c r="E16" s="94"/>
      <c r="F16" s="94"/>
      <c r="H16" s="97"/>
      <c r="I16" s="103"/>
      <c r="J16" s="104"/>
      <c r="K16" s="97"/>
      <c r="L16" s="97"/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  <c r="AH16" s="97"/>
      <c r="AI16" s="97"/>
      <c r="AJ16" s="97"/>
    </row>
    <row r="17" spans="1:36">
      <c r="A17" s="101"/>
      <c r="B17" s="102"/>
      <c r="C17" s="94"/>
      <c r="D17" s="94"/>
      <c r="E17" s="94"/>
      <c r="F17" s="94"/>
      <c r="H17" s="97"/>
      <c r="I17" s="103"/>
      <c r="J17" s="104"/>
      <c r="K17" s="97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7"/>
      <c r="AG17" s="97"/>
      <c r="AH17" s="97"/>
      <c r="AI17" s="97"/>
      <c r="AJ17" s="97"/>
    </row>
    <row r="18" spans="1:36">
      <c r="A18" s="58" t="s">
        <v>95</v>
      </c>
      <c r="B18" s="153">
        <f>+SUM(B4:B15)</f>
        <v>7802701.2000000002</v>
      </c>
      <c r="C18" s="153">
        <f>+SUM(C4:C15)</f>
        <v>755357.90399999998</v>
      </c>
      <c r="D18" s="153">
        <f t="shared" ref="D18:E18" si="1">+SUM(D4:D15)</f>
        <v>49369.719702660012</v>
      </c>
      <c r="E18" s="153">
        <f t="shared" si="1"/>
        <v>544242.12066000002</v>
      </c>
      <c r="F18" s="153">
        <f>+SUM(F4:F15)</f>
        <v>9151670.9443626609</v>
      </c>
      <c r="H18" s="97"/>
      <c r="I18" s="97"/>
      <c r="J18" s="97"/>
      <c r="K18" s="97"/>
      <c r="L18" s="97"/>
      <c r="M18" s="97"/>
      <c r="N18" s="97"/>
      <c r="O18" s="97"/>
      <c r="P18" s="97"/>
      <c r="Q18" s="97"/>
      <c r="R18" s="97"/>
      <c r="S18" s="97"/>
      <c r="T18" s="97"/>
      <c r="U18" s="97"/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  <c r="AH18" s="97"/>
      <c r="AI18" s="97"/>
      <c r="AJ18" s="97"/>
    </row>
    <row r="19" spans="1:36">
      <c r="A19" s="66" t="s">
        <v>9</v>
      </c>
      <c r="B19" s="154">
        <f>+AVERAGE(B4:B17)</f>
        <v>650225.1</v>
      </c>
      <c r="C19" s="154">
        <f>+AVERAGE(C4:C17)</f>
        <v>62946.491999999998</v>
      </c>
      <c r="D19" s="154">
        <f t="shared" ref="D19:E19" si="2">+AVERAGE(D4:D17)</f>
        <v>4114.1433085550007</v>
      </c>
      <c r="E19" s="154">
        <f t="shared" si="2"/>
        <v>45353.510054999999</v>
      </c>
      <c r="F19" s="154">
        <f>+AVERAGE(F4:F17)</f>
        <v>762639.24536355503</v>
      </c>
      <c r="H19" s="97"/>
      <c r="I19" s="103"/>
      <c r="J19" s="104"/>
      <c r="K19" s="104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  <c r="AH19" s="97"/>
      <c r="AI19" s="97"/>
      <c r="AJ19" s="97"/>
    </row>
    <row r="20" spans="1:36">
      <c r="A20" s="66" t="s">
        <v>23</v>
      </c>
      <c r="B20" s="154">
        <f>+MAX(B4:B17)</f>
        <v>780657.88</v>
      </c>
      <c r="C20" s="154">
        <f>+MAX(C4:C17)</f>
        <v>85246.280000000013</v>
      </c>
      <c r="D20" s="154">
        <f t="shared" ref="D20:E20" si="3">+MAX(D4:D17)</f>
        <v>19488.047251050004</v>
      </c>
      <c r="E20" s="154">
        <f t="shared" si="3"/>
        <v>98915.644800000024</v>
      </c>
      <c r="F20" s="154">
        <f>+MAX(F4:F17)</f>
        <v>905175.05264000001</v>
      </c>
      <c r="H20" s="97"/>
      <c r="I20" s="103"/>
      <c r="J20" s="104"/>
      <c r="K20" s="104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  <c r="AH20" s="97"/>
      <c r="AI20" s="97"/>
      <c r="AJ20" s="97"/>
    </row>
    <row r="21" spans="1:36">
      <c r="A21" s="66" t="s">
        <v>24</v>
      </c>
      <c r="B21" s="154">
        <f>+MIN(B5:B17)</f>
        <v>416692.83999999997</v>
      </c>
      <c r="C21" s="154">
        <f>+MIN(C5:C17)</f>
        <v>39239.242000000006</v>
      </c>
      <c r="D21" s="154">
        <f t="shared" ref="D21:E21" si="4">+MIN(D5:D17)</f>
        <v>0</v>
      </c>
      <c r="E21" s="154">
        <f t="shared" si="4"/>
        <v>0</v>
      </c>
      <c r="F21" s="154">
        <f>+MIN(F5:F17)</f>
        <v>490301.43850032502</v>
      </c>
      <c r="H21" s="97"/>
      <c r="I21" s="103"/>
      <c r="J21" s="104"/>
      <c r="K21" s="104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  <c r="X21" s="97"/>
      <c r="Y21" s="97"/>
      <c r="Z21" s="97"/>
      <c r="AA21" s="97"/>
      <c r="AB21" s="97"/>
      <c r="AC21" s="97"/>
      <c r="AD21" s="97"/>
      <c r="AE21" s="97"/>
      <c r="AF21" s="97"/>
      <c r="AG21" s="97"/>
      <c r="AH21" s="97"/>
      <c r="AI21" s="97"/>
      <c r="AJ21" s="97"/>
    </row>
    <row r="22" spans="1:36">
      <c r="A22" s="72"/>
      <c r="B22" s="109"/>
      <c r="C22" s="109"/>
      <c r="D22" s="109"/>
      <c r="E22" s="109"/>
      <c r="F22" s="109"/>
      <c r="H22" s="97"/>
      <c r="I22" s="103"/>
      <c r="J22" s="104"/>
      <c r="K22" s="104"/>
      <c r="L22" s="97"/>
      <c r="M22" s="97"/>
      <c r="N22" s="97"/>
      <c r="O22" s="97"/>
      <c r="P22" s="97"/>
      <c r="Q22" s="97"/>
      <c r="R22" s="97"/>
      <c r="S22" s="97"/>
      <c r="T22" s="97"/>
      <c r="U22" s="97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</row>
    <row r="23" spans="1:36">
      <c r="H23" s="97"/>
      <c r="I23" s="103"/>
      <c r="J23" s="104"/>
      <c r="K23" s="104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  <c r="AH23" s="97"/>
      <c r="AI23" s="97"/>
      <c r="AJ23" s="97"/>
    </row>
    <row r="24" spans="1:36">
      <c r="A24" s="346" t="s">
        <v>49</v>
      </c>
      <c r="B24" s="347"/>
      <c r="C24" s="76"/>
      <c r="D24" s="253"/>
      <c r="E24" s="253"/>
      <c r="F24" s="227"/>
      <c r="H24" s="97"/>
      <c r="I24" s="103"/>
      <c r="J24" s="104"/>
      <c r="K24" s="104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  <c r="AH24" s="97"/>
      <c r="AI24" s="97"/>
      <c r="AJ24" s="97"/>
    </row>
    <row r="25" spans="1:36">
      <c r="A25" s="76" t="s">
        <v>50</v>
      </c>
      <c r="B25" s="76" t="s">
        <v>26</v>
      </c>
      <c r="C25" s="76" t="s">
        <v>51</v>
      </c>
      <c r="D25" s="253"/>
      <c r="E25" s="253"/>
      <c r="F25" s="348"/>
      <c r="H25" s="97"/>
      <c r="I25" s="103"/>
      <c r="J25" s="104"/>
      <c r="K25" s="104"/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7"/>
      <c r="AH25" s="97"/>
      <c r="AI25" s="97"/>
      <c r="AJ25" s="97"/>
    </row>
    <row r="26" spans="1:36">
      <c r="A26" s="152" t="str">
        <f>+B3</f>
        <v>ENERGÍA ELÉCTRICA</v>
      </c>
      <c r="B26" s="94">
        <f>+B18</f>
        <v>7802701.2000000002</v>
      </c>
      <c r="C26" s="110">
        <f>+B26/$B$30</f>
        <v>0.91173724149124546</v>
      </c>
      <c r="D26" s="110"/>
      <c r="E26" s="110"/>
      <c r="F26" s="348"/>
      <c r="H26" s="97"/>
      <c r="I26" s="103"/>
      <c r="J26" s="104"/>
      <c r="K26" s="104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  <c r="AH26" s="97"/>
      <c r="AI26" s="97"/>
      <c r="AJ26" s="97"/>
    </row>
    <row r="27" spans="1:36">
      <c r="A27" s="152" t="str">
        <f>+C3</f>
        <v xml:space="preserve">GAS NATURAL </v>
      </c>
      <c r="B27" s="94">
        <f>+C18</f>
        <v>755357.90399999998</v>
      </c>
      <c r="C27" s="110">
        <f>+B27/$B$30</f>
        <v>8.8262758508754507E-2</v>
      </c>
      <c r="D27" s="110"/>
      <c r="E27" s="110"/>
      <c r="F27" s="348"/>
      <c r="H27" s="97"/>
      <c r="I27" s="103"/>
      <c r="J27" s="104"/>
      <c r="K27" s="104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  <c r="AH27" s="97"/>
      <c r="AI27" s="97"/>
      <c r="AJ27" s="97"/>
    </row>
    <row r="28" spans="1:36">
      <c r="A28" s="152" t="str">
        <f>D3</f>
        <v>ACPM</v>
      </c>
      <c r="B28" s="94">
        <f>D18</f>
        <v>49369.719702660012</v>
      </c>
      <c r="C28" s="110">
        <f>+B28/$B$30</f>
        <v>5.7687986379510768E-3</v>
      </c>
      <c r="D28" s="110"/>
      <c r="E28" s="110"/>
      <c r="F28" s="348"/>
      <c r="H28" s="97"/>
      <c r="I28" s="103"/>
      <c r="J28" s="104"/>
      <c r="K28" s="104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  <c r="AH28" s="97"/>
      <c r="AI28" s="97"/>
      <c r="AJ28" s="97"/>
    </row>
    <row r="29" spans="1:36">
      <c r="A29" s="152" t="str">
        <f>E3</f>
        <v>GAS PROPANO</v>
      </c>
      <c r="B29" s="94">
        <f>E18</f>
        <v>544242.12066000002</v>
      </c>
      <c r="C29" s="110">
        <f>+B29/$B$30</f>
        <v>6.3594106332547251E-2</v>
      </c>
      <c r="D29" s="110"/>
      <c r="E29" s="110"/>
      <c r="F29" s="348"/>
      <c r="H29" s="97"/>
      <c r="I29" s="103"/>
      <c r="J29" s="104"/>
      <c r="K29" s="104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</row>
    <row r="30" spans="1:36">
      <c r="A30" s="85" t="s">
        <v>31</v>
      </c>
      <c r="B30" s="94">
        <f>+SUM(B26:B27)</f>
        <v>8558059.1040000003</v>
      </c>
      <c r="C30" s="106"/>
      <c r="D30" s="106"/>
      <c r="E30" s="106"/>
      <c r="F30" s="348"/>
      <c r="I30" s="103"/>
      <c r="J30" s="104"/>
      <c r="K30" s="104"/>
    </row>
    <row r="31" spans="1:36">
      <c r="I31" s="103"/>
    </row>
    <row r="32" spans="1:36">
      <c r="I32" s="103"/>
    </row>
    <row r="33" spans="1:9">
      <c r="A33" s="337" t="s">
        <v>52</v>
      </c>
      <c r="B33" s="337"/>
      <c r="C33" s="337"/>
      <c r="D33" s="77"/>
      <c r="E33" s="77"/>
      <c r="I33" s="103"/>
    </row>
    <row r="34" spans="1:9">
      <c r="A34" s="76" t="s">
        <v>50</v>
      </c>
      <c r="B34" s="76" t="s">
        <v>53</v>
      </c>
      <c r="C34" s="76" t="s">
        <v>51</v>
      </c>
      <c r="D34" s="77"/>
      <c r="E34" s="77"/>
      <c r="I34" s="103"/>
    </row>
    <row r="35" spans="1:9">
      <c r="A35" s="152" t="str">
        <f>+A26</f>
        <v>ENERGÍA ELÉCTRICA</v>
      </c>
      <c r="B35" s="108">
        <f>+'CONSUMOS Y PRODUCCIÓN'!K32</f>
        <v>4747406359.8966141</v>
      </c>
      <c r="C35" s="110">
        <f>+B35/$B$39</f>
        <v>0.94093828203363206</v>
      </c>
      <c r="D35" s="292"/>
      <c r="E35" s="292"/>
      <c r="I35" s="103"/>
    </row>
    <row r="36" spans="1:9">
      <c r="A36" s="152" t="str">
        <f>+A27</f>
        <v xml:space="preserve">GAS NATURAL </v>
      </c>
      <c r="B36" s="108">
        <f>+'CONSUMOS Y PRODUCCIÓN'!H57</f>
        <v>131248161.56999999</v>
      </c>
      <c r="C36" s="110">
        <f>+B36/$B$39</f>
        <v>2.6013450357015105E-2</v>
      </c>
      <c r="D36" s="292"/>
      <c r="E36" s="292"/>
      <c r="I36" s="103"/>
    </row>
    <row r="37" spans="1:9">
      <c r="A37" s="152" t="str">
        <f t="shared" ref="A37" si="5">+A28</f>
        <v>ACPM</v>
      </c>
      <c r="B37" s="108">
        <f>+'CONSUMOS Y PRODUCCIÓN'!E87</f>
        <v>11301455.956528571</v>
      </c>
      <c r="C37" s="110">
        <f t="shared" ref="C37" si="6">+B37/$B$39</f>
        <v>2.239954144655595E-3</v>
      </c>
      <c r="D37" s="279"/>
      <c r="E37" s="279"/>
      <c r="I37" s="103"/>
    </row>
    <row r="38" spans="1:9">
      <c r="A38" s="152" t="str">
        <f>+A29</f>
        <v>GAS PROPANO</v>
      </c>
      <c r="B38" s="108">
        <f>'CONSUMOS Y PRODUCCIÓN'!H149</f>
        <v>155440145.30250001</v>
      </c>
      <c r="C38" s="110">
        <f>+B38/$B$39</f>
        <v>3.0808313464697312E-2</v>
      </c>
      <c r="D38" s="279"/>
      <c r="E38" s="279"/>
      <c r="I38" s="103"/>
    </row>
    <row r="39" spans="1:9">
      <c r="A39" s="93" t="s">
        <v>31</v>
      </c>
      <c r="B39" s="108">
        <f>SUM(B35:B38)</f>
        <v>5045396122.7256422</v>
      </c>
      <c r="C39" s="107"/>
      <c r="D39" s="280"/>
      <c r="E39" s="280"/>
      <c r="I39" s="103"/>
    </row>
    <row r="40" spans="1:9">
      <c r="I40" s="103"/>
    </row>
    <row r="41" spans="1:9">
      <c r="I41" s="103"/>
    </row>
    <row r="42" spans="1:9">
      <c r="I42" s="103"/>
    </row>
    <row r="43" spans="1:9">
      <c r="I43" s="103"/>
    </row>
    <row r="44" spans="1:9">
      <c r="I44" s="103"/>
    </row>
  </sheetData>
  <mergeCells count="4">
    <mergeCell ref="A24:B24"/>
    <mergeCell ref="A33:C33"/>
    <mergeCell ref="A2:F2"/>
    <mergeCell ref="F25:F30"/>
  </mergeCells>
  <pageMargins left="0.7" right="0.7" top="0.75" bottom="0.75" header="0.3" footer="0.3"/>
  <pageSetup orientation="portrait" r:id="rId1"/>
  <ignoredErrors>
    <ignoredError sqref="B19:C21 F19:F21" unlockedFormula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9"/>
  <dimension ref="A1:S101"/>
  <sheetViews>
    <sheetView workbookViewId="0">
      <selection activeCell="E107" sqref="E107"/>
    </sheetView>
  </sheetViews>
  <sheetFormatPr defaultColWidth="11.42578125" defaultRowHeight="15"/>
  <cols>
    <col min="2" max="2" width="3" customWidth="1"/>
    <col min="3" max="3" width="18.5703125" customWidth="1"/>
  </cols>
  <sheetData>
    <row r="1" spans="1:13" ht="15.75" thickBot="1">
      <c r="A1" s="3"/>
      <c r="B1" s="3"/>
      <c r="C1" s="3"/>
      <c r="D1" s="3"/>
      <c r="E1" s="3"/>
      <c r="F1" s="3"/>
      <c r="G1" s="3"/>
      <c r="H1" s="3"/>
      <c r="I1" s="52" t="s">
        <v>22</v>
      </c>
      <c r="J1" s="3"/>
      <c r="K1" s="3"/>
      <c r="L1" s="3"/>
      <c r="M1" s="3"/>
    </row>
    <row r="2" spans="1:13" ht="21">
      <c r="A2" s="3"/>
      <c r="B2" s="3"/>
      <c r="C2" s="4" t="s">
        <v>8</v>
      </c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ht="21">
      <c r="A3" s="3"/>
      <c r="B3" s="3"/>
      <c r="C3" s="4"/>
      <c r="D3" s="3"/>
      <c r="E3" s="3"/>
      <c r="F3" s="3"/>
      <c r="G3" s="5"/>
      <c r="H3" s="3"/>
      <c r="I3" s="3"/>
      <c r="J3" s="3"/>
      <c r="K3" s="3"/>
      <c r="L3" s="3"/>
      <c r="M3" s="3"/>
    </row>
    <row r="4" spans="1:13" ht="15" customHeight="1">
      <c r="A4" s="3"/>
      <c r="B4" s="349" t="s">
        <v>5</v>
      </c>
      <c r="C4" s="349"/>
      <c r="F4" s="6" t="e">
        <f>+#REF!</f>
        <v>#REF!</v>
      </c>
      <c r="G4" s="6" t="e">
        <f>+#REF!</f>
        <v>#REF!</v>
      </c>
      <c r="H4" s="6" t="e">
        <f>+#REF!</f>
        <v>#REF!</v>
      </c>
      <c r="I4" s="6" t="e">
        <f>+#REF!</f>
        <v>#REF!</v>
      </c>
      <c r="L4" s="7"/>
      <c r="M4" s="3"/>
    </row>
    <row r="5" spans="1:13" ht="30">
      <c r="A5" s="3"/>
      <c r="B5" s="349"/>
      <c r="C5" s="349"/>
      <c r="D5" s="49" t="s">
        <v>62</v>
      </c>
      <c r="E5" s="49" t="s">
        <v>48</v>
      </c>
      <c r="F5" s="24" t="e">
        <f>+#REF!</f>
        <v>#REF!</v>
      </c>
      <c r="G5" s="49" t="s">
        <v>74</v>
      </c>
      <c r="H5" s="49" t="e">
        <f>+#REF!</f>
        <v>#REF!</v>
      </c>
      <c r="I5" s="49" t="e">
        <f>+#REF!</f>
        <v>#REF!</v>
      </c>
      <c r="L5" s="7"/>
      <c r="M5" s="3"/>
    </row>
    <row r="6" spans="1:13">
      <c r="A6" s="3"/>
      <c r="B6" s="349"/>
      <c r="C6" s="349"/>
      <c r="D6" s="24" t="e">
        <f>+#REF!</f>
        <v>#REF!</v>
      </c>
      <c r="E6" s="49" t="e">
        <f>+#REF!</f>
        <v>#REF!</v>
      </c>
      <c r="F6" s="49" t="e">
        <f>+#REF!</f>
        <v>#REF!</v>
      </c>
      <c r="G6" s="49" t="e">
        <f>+#REF!</f>
        <v>#REF!</v>
      </c>
      <c r="H6" s="49" t="e">
        <f>+#REF!</f>
        <v>#REF!</v>
      </c>
      <c r="I6" s="49" t="e">
        <f>+#REF!</f>
        <v>#REF!</v>
      </c>
      <c r="L6" s="7"/>
      <c r="M6" s="3"/>
    </row>
    <row r="7" spans="1:13">
      <c r="A7" s="3"/>
      <c r="B7" s="8">
        <f>+'[4]Consumo Energeticos'!B7</f>
        <v>1</v>
      </c>
      <c r="C7" s="9" t="e">
        <f>+#REF!</f>
        <v>#REF!</v>
      </c>
      <c r="D7" s="41" t="e">
        <f>+#REF!</f>
        <v>#REF!</v>
      </c>
      <c r="E7" s="41" t="e">
        <f>+#REF!</f>
        <v>#REF!</v>
      </c>
      <c r="F7" s="41" t="e">
        <f>+#REF!</f>
        <v>#REF!</v>
      </c>
      <c r="G7" s="41" t="e">
        <f>+SUM(#REF!)</f>
        <v>#REF!</v>
      </c>
      <c r="H7" s="41" t="e">
        <f>+#REF!</f>
        <v>#REF!</v>
      </c>
      <c r="I7" s="41" t="e">
        <f>+#REF!</f>
        <v>#REF!</v>
      </c>
      <c r="L7" s="7"/>
      <c r="M7" s="3"/>
    </row>
    <row r="8" spans="1:13">
      <c r="A8" s="3"/>
      <c r="B8" s="8">
        <f>+'[4]Consumo Energeticos'!B8</f>
        <v>2</v>
      </c>
      <c r="C8" s="9" t="e">
        <f>+#REF!</f>
        <v>#REF!</v>
      </c>
      <c r="D8" s="41" t="e">
        <f>+#REF!</f>
        <v>#REF!</v>
      </c>
      <c r="E8" s="41" t="e">
        <f>+#REF!</f>
        <v>#REF!</v>
      </c>
      <c r="F8" s="41" t="e">
        <f>+#REF!</f>
        <v>#REF!</v>
      </c>
      <c r="G8" s="41" t="e">
        <f>+SUM(#REF!)</f>
        <v>#REF!</v>
      </c>
      <c r="H8" s="41" t="e">
        <f>+#REF!</f>
        <v>#REF!</v>
      </c>
      <c r="I8" s="41" t="e">
        <f>+#REF!</f>
        <v>#REF!</v>
      </c>
      <c r="L8" s="7"/>
      <c r="M8" s="3"/>
    </row>
    <row r="9" spans="1:13">
      <c r="A9" s="3"/>
      <c r="B9" s="8">
        <f>+'[4]Consumo Energeticos'!B9</f>
        <v>3</v>
      </c>
      <c r="C9" s="9" t="e">
        <f>+#REF!</f>
        <v>#REF!</v>
      </c>
      <c r="D9" s="41" t="e">
        <f>+#REF!</f>
        <v>#REF!</v>
      </c>
      <c r="E9" s="41" t="e">
        <f>+#REF!</f>
        <v>#REF!</v>
      </c>
      <c r="F9" s="41" t="e">
        <f>+#REF!</f>
        <v>#REF!</v>
      </c>
      <c r="G9" s="41" t="e">
        <f>+SUM(#REF!)</f>
        <v>#REF!</v>
      </c>
      <c r="H9" s="41" t="e">
        <f>+#REF!</f>
        <v>#REF!</v>
      </c>
      <c r="I9" s="41" t="e">
        <f>+#REF!</f>
        <v>#REF!</v>
      </c>
      <c r="L9" s="7"/>
      <c r="M9" s="3"/>
    </row>
    <row r="10" spans="1:13">
      <c r="A10" s="3"/>
      <c r="B10" s="8">
        <f>+'[4]Consumo Energeticos'!B10</f>
        <v>4</v>
      </c>
      <c r="C10" s="9" t="e">
        <f>+#REF!</f>
        <v>#REF!</v>
      </c>
      <c r="D10" s="41" t="e">
        <f>+#REF!</f>
        <v>#REF!</v>
      </c>
      <c r="E10" s="41" t="e">
        <f>+#REF!</f>
        <v>#REF!</v>
      </c>
      <c r="F10" s="41" t="e">
        <f>+#REF!</f>
        <v>#REF!</v>
      </c>
      <c r="G10" s="41" t="e">
        <f>+SUM(#REF!)</f>
        <v>#REF!</v>
      </c>
      <c r="H10" s="41" t="e">
        <f>+#REF!</f>
        <v>#REF!</v>
      </c>
      <c r="I10" s="41" t="e">
        <f>+#REF!</f>
        <v>#REF!</v>
      </c>
      <c r="L10" s="7"/>
      <c r="M10" s="3"/>
    </row>
    <row r="11" spans="1:13">
      <c r="A11" s="3"/>
      <c r="B11" s="8">
        <f>+'[4]Consumo Energeticos'!B11</f>
        <v>5</v>
      </c>
      <c r="C11" s="9" t="e">
        <f>+#REF!</f>
        <v>#REF!</v>
      </c>
      <c r="D11" s="41" t="e">
        <f>+#REF!</f>
        <v>#REF!</v>
      </c>
      <c r="E11" s="41" t="e">
        <f>+#REF!</f>
        <v>#REF!</v>
      </c>
      <c r="F11" s="41" t="e">
        <f>+#REF!</f>
        <v>#REF!</v>
      </c>
      <c r="G11" s="41" t="e">
        <f>+SUM(#REF!)</f>
        <v>#REF!</v>
      </c>
      <c r="H11" s="41" t="e">
        <f>+#REF!</f>
        <v>#REF!</v>
      </c>
      <c r="I11" s="41" t="e">
        <f>+#REF!</f>
        <v>#REF!</v>
      </c>
      <c r="L11" s="7"/>
      <c r="M11" s="3"/>
    </row>
    <row r="12" spans="1:13">
      <c r="A12" s="3"/>
      <c r="B12" s="8">
        <f>+'[4]Consumo Energeticos'!B12</f>
        <v>6</v>
      </c>
      <c r="C12" s="9" t="e">
        <f>+#REF!</f>
        <v>#REF!</v>
      </c>
      <c r="D12" s="41" t="e">
        <f>+#REF!</f>
        <v>#REF!</v>
      </c>
      <c r="E12" s="41" t="e">
        <f>+#REF!</f>
        <v>#REF!</v>
      </c>
      <c r="F12" s="41" t="e">
        <f>+#REF!</f>
        <v>#REF!</v>
      </c>
      <c r="G12" s="41" t="e">
        <f>+SUM(#REF!)</f>
        <v>#REF!</v>
      </c>
      <c r="H12" s="41" t="e">
        <f>+#REF!</f>
        <v>#REF!</v>
      </c>
      <c r="I12" s="41" t="e">
        <f>+#REF!</f>
        <v>#REF!</v>
      </c>
      <c r="L12" s="7"/>
      <c r="M12" s="3"/>
    </row>
    <row r="13" spans="1:13">
      <c r="A13" s="3"/>
      <c r="B13" s="8">
        <f>+'[4]Consumo Energeticos'!B13</f>
        <v>7</v>
      </c>
      <c r="C13" s="9" t="e">
        <f>+#REF!</f>
        <v>#REF!</v>
      </c>
      <c r="D13" s="41" t="e">
        <f>+#REF!</f>
        <v>#REF!</v>
      </c>
      <c r="E13" s="41" t="e">
        <f>+#REF!</f>
        <v>#REF!</v>
      </c>
      <c r="F13" s="41" t="e">
        <f>+#REF!</f>
        <v>#REF!</v>
      </c>
      <c r="G13" s="41" t="e">
        <f>+SUM(#REF!)</f>
        <v>#REF!</v>
      </c>
      <c r="H13" s="41" t="e">
        <f>+#REF!</f>
        <v>#REF!</v>
      </c>
      <c r="I13" s="41" t="e">
        <f>+#REF!</f>
        <v>#REF!</v>
      </c>
      <c r="L13" s="7"/>
      <c r="M13" s="3"/>
    </row>
    <row r="14" spans="1:13">
      <c r="A14" s="3"/>
      <c r="B14" s="8">
        <f>+'[4]Consumo Energeticos'!B14</f>
        <v>8</v>
      </c>
      <c r="C14" s="9" t="e">
        <f>+#REF!</f>
        <v>#REF!</v>
      </c>
      <c r="D14" s="41" t="e">
        <f>+#REF!</f>
        <v>#REF!</v>
      </c>
      <c r="E14" s="41" t="e">
        <f>+#REF!</f>
        <v>#REF!</v>
      </c>
      <c r="F14" s="41" t="e">
        <f>+#REF!</f>
        <v>#REF!</v>
      </c>
      <c r="G14" s="41" t="e">
        <f>+SUM(#REF!)</f>
        <v>#REF!</v>
      </c>
      <c r="H14" s="41" t="e">
        <f>+#REF!</f>
        <v>#REF!</v>
      </c>
      <c r="I14" s="41" t="e">
        <f>+#REF!</f>
        <v>#REF!</v>
      </c>
      <c r="L14" s="7"/>
      <c r="M14" s="3"/>
    </row>
    <row r="15" spans="1:13">
      <c r="A15" s="3"/>
      <c r="B15" s="8">
        <f>+'[4]Consumo Energeticos'!B15</f>
        <v>9</v>
      </c>
      <c r="C15" s="9" t="e">
        <f>+#REF!</f>
        <v>#REF!</v>
      </c>
      <c r="D15" s="41" t="e">
        <f>+#REF!</f>
        <v>#REF!</v>
      </c>
      <c r="E15" s="41" t="e">
        <f>+#REF!</f>
        <v>#REF!</v>
      </c>
      <c r="F15" s="41" t="e">
        <f>+#REF!</f>
        <v>#REF!</v>
      </c>
      <c r="G15" s="41" t="e">
        <f>+SUM(#REF!)</f>
        <v>#REF!</v>
      </c>
      <c r="H15" s="41" t="e">
        <f>+#REF!</f>
        <v>#REF!</v>
      </c>
      <c r="I15" s="41" t="e">
        <f>+#REF!</f>
        <v>#REF!</v>
      </c>
      <c r="L15" s="7"/>
      <c r="M15" s="3"/>
    </row>
    <row r="16" spans="1:13">
      <c r="A16" s="3"/>
      <c r="B16" s="8">
        <f>+'[4]Consumo Energeticos'!B16</f>
        <v>10</v>
      </c>
      <c r="C16" s="9" t="e">
        <f>+#REF!</f>
        <v>#REF!</v>
      </c>
      <c r="D16" s="41" t="e">
        <f>+#REF!</f>
        <v>#REF!</v>
      </c>
      <c r="E16" s="41" t="e">
        <f>+#REF!</f>
        <v>#REF!</v>
      </c>
      <c r="F16" s="41" t="e">
        <f>+#REF!</f>
        <v>#REF!</v>
      </c>
      <c r="G16" s="41" t="e">
        <f>+SUM(#REF!)</f>
        <v>#REF!</v>
      </c>
      <c r="H16" s="41" t="e">
        <f>+#REF!</f>
        <v>#REF!</v>
      </c>
      <c r="I16" s="41" t="e">
        <f>+#REF!</f>
        <v>#REF!</v>
      </c>
      <c r="L16" s="7"/>
      <c r="M16" s="3"/>
    </row>
    <row r="17" spans="1:19">
      <c r="A17" s="3"/>
      <c r="B17" s="8">
        <f>+'[4]Consumo Energeticos'!B17</f>
        <v>11</v>
      </c>
      <c r="C17" s="9" t="e">
        <f>+#REF!</f>
        <v>#REF!</v>
      </c>
      <c r="D17" s="41" t="e">
        <f>+#REF!</f>
        <v>#REF!</v>
      </c>
      <c r="E17" s="41" t="e">
        <f>+#REF!</f>
        <v>#REF!</v>
      </c>
      <c r="F17" s="41" t="e">
        <f>+#REF!</f>
        <v>#REF!</v>
      </c>
      <c r="G17" s="41" t="e">
        <f>+SUM(#REF!)</f>
        <v>#REF!</v>
      </c>
      <c r="H17" s="41" t="e">
        <f>+#REF!</f>
        <v>#REF!</v>
      </c>
      <c r="I17" s="41" t="e">
        <f>+#REF!</f>
        <v>#REF!</v>
      </c>
      <c r="L17" s="7"/>
      <c r="M17" s="3"/>
    </row>
    <row r="18" spans="1:19">
      <c r="A18" s="3"/>
      <c r="B18" s="8">
        <f>+'[4]Consumo Energeticos'!B18</f>
        <v>12</v>
      </c>
      <c r="C18" s="9" t="e">
        <f>+#REF!</f>
        <v>#REF!</v>
      </c>
      <c r="D18" s="41" t="e">
        <f>+#REF!</f>
        <v>#REF!</v>
      </c>
      <c r="E18" s="41" t="e">
        <f>+#REF!</f>
        <v>#REF!</v>
      </c>
      <c r="F18" s="41" t="e">
        <f>+#REF!</f>
        <v>#REF!</v>
      </c>
      <c r="G18" s="41" t="e">
        <f>+SUM(#REF!)</f>
        <v>#REF!</v>
      </c>
      <c r="H18" s="41" t="e">
        <f>+#REF!</f>
        <v>#REF!</v>
      </c>
      <c r="I18" s="41" t="e">
        <f>+#REF!</f>
        <v>#REF!</v>
      </c>
      <c r="L18" s="7"/>
      <c r="M18" s="3"/>
    </row>
    <row r="19" spans="1:19" ht="15" customHeight="1">
      <c r="A19" s="3"/>
      <c r="B19" s="7"/>
      <c r="C19" s="7"/>
      <c r="D19" s="7"/>
      <c r="E19" s="7"/>
      <c r="F19" s="7"/>
      <c r="G19" s="11"/>
      <c r="H19" s="7"/>
      <c r="I19" s="7"/>
      <c r="J19" s="7"/>
      <c r="K19" s="7"/>
      <c r="L19" s="7"/>
      <c r="M19" s="3"/>
    </row>
    <row r="20" spans="1:19">
      <c r="A20" s="3"/>
      <c r="B20" s="7"/>
      <c r="C20" s="12" t="s">
        <v>11</v>
      </c>
      <c r="D20" s="13" t="e">
        <f>IF(SUM(D7:D18)=0,0,MAX(D7:D18))</f>
        <v>#REF!</v>
      </c>
      <c r="E20" s="13" t="e">
        <f>IF(SUM(E7:E18)=0,0,MAX(E7:E18))</f>
        <v>#REF!</v>
      </c>
      <c r="F20" s="13" t="e">
        <f>IF(SUM(F7:F18)=0,0,MAX(F7:F18))</f>
        <v>#REF!</v>
      </c>
      <c r="G20" s="13" t="e">
        <f>IF(SUM(G7:G18)=0,0,MAX(G7:G18))</f>
        <v>#REF!</v>
      </c>
      <c r="H20" s="13" t="e">
        <f t="shared" ref="H20:I20" si="0">IF(SUM(H7:H18)=0,0,MAX(H7:H18))</f>
        <v>#REF!</v>
      </c>
      <c r="I20" s="13" t="e">
        <f t="shared" si="0"/>
        <v>#REF!</v>
      </c>
      <c r="J20" s="44"/>
      <c r="K20" s="44"/>
      <c r="L20" s="7"/>
      <c r="M20" s="3"/>
    </row>
    <row r="21" spans="1:19">
      <c r="A21" s="3"/>
      <c r="B21" s="7"/>
      <c r="C21" s="12" t="s">
        <v>12</v>
      </c>
      <c r="D21" s="13" t="e">
        <f>IF(SUM(D7:D18)=0,0,MIN(D7:D18))</f>
        <v>#REF!</v>
      </c>
      <c r="E21" s="13" t="e">
        <f>IF(SUM(E7:E18)=0,0,MIN(E7:E18))</f>
        <v>#REF!</v>
      </c>
      <c r="F21" s="13" t="e">
        <f>IF(SUM(F7:F18)=0,0,MIN(F7:F18))</f>
        <v>#REF!</v>
      </c>
      <c r="G21" s="13" t="e">
        <f>IF(SUM(G7:G18)=0,0,MIN(G7:G18))</f>
        <v>#REF!</v>
      </c>
      <c r="H21" s="13" t="e">
        <f t="shared" ref="H21:I21" si="1">IF(SUM(H7:H18)=0,0,MIN(H7:H18))</f>
        <v>#REF!</v>
      </c>
      <c r="I21" s="13" t="e">
        <f t="shared" si="1"/>
        <v>#REF!</v>
      </c>
      <c r="J21" s="44"/>
      <c r="K21" s="44"/>
      <c r="L21" s="7"/>
      <c r="M21" s="3"/>
    </row>
    <row r="22" spans="1:19">
      <c r="A22" s="3"/>
      <c r="B22" s="7"/>
      <c r="C22" s="12" t="s">
        <v>9</v>
      </c>
      <c r="D22" s="13" t="e">
        <f>IF(SUM(D7:D18)=0,0,AVERAGE(D7:D18))</f>
        <v>#REF!</v>
      </c>
      <c r="E22" s="13" t="e">
        <f>IF(SUM(E7:E18)=0,0,AVERAGE(E7:E18))</f>
        <v>#REF!</v>
      </c>
      <c r="F22" s="13" t="e">
        <f>IF(SUM(F7:F18)=0,0,AVERAGE(F7:F18))</f>
        <v>#REF!</v>
      </c>
      <c r="G22" s="13" t="e">
        <f>IF(SUM(G7:G18)=0,0,AVERAGE(G7:G18))</f>
        <v>#REF!</v>
      </c>
      <c r="H22" s="13" t="e">
        <f t="shared" ref="H22:I22" si="2">IF(SUM(H7:H18)=0,0,AVERAGE(H7:H18))</f>
        <v>#REF!</v>
      </c>
      <c r="I22" s="13" t="e">
        <f t="shared" si="2"/>
        <v>#REF!</v>
      </c>
      <c r="J22" s="44"/>
      <c r="K22" s="44"/>
      <c r="L22" s="7"/>
      <c r="M22" s="3"/>
    </row>
    <row r="23" spans="1:19">
      <c r="A23" s="3"/>
      <c r="B23" s="7"/>
      <c r="C23" s="12" t="s">
        <v>10</v>
      </c>
      <c r="D23" s="13" t="e">
        <f>IF(SUM(D7:D18)=0,0,STDEV(D7:D18))</f>
        <v>#REF!</v>
      </c>
      <c r="E23" s="13" t="e">
        <f>IF(SUM(E7:E18)=0,0,STDEV(E7:E18))</f>
        <v>#REF!</v>
      </c>
      <c r="F23" s="13" t="e">
        <f>IF(SUM(F7:F18)=0,0,STDEV(F7:F18))</f>
        <v>#REF!</v>
      </c>
      <c r="G23" s="13" t="e">
        <f>IF(SUM(G7:G18)=0,0,STDEV(G7:G18))</f>
        <v>#REF!</v>
      </c>
      <c r="H23" s="13" t="e">
        <f t="shared" ref="H23:I23" si="3">IF(SUM(H7:H18)=0,0,STDEV(H7:H18))</f>
        <v>#REF!</v>
      </c>
      <c r="I23" s="13" t="e">
        <f t="shared" si="3"/>
        <v>#REF!</v>
      </c>
      <c r="J23" s="44"/>
      <c r="K23" s="44"/>
      <c r="L23" s="7"/>
      <c r="M23" s="3"/>
    </row>
    <row r="24" spans="1:19">
      <c r="A24" s="3"/>
      <c r="B24" s="7"/>
      <c r="C24" s="7"/>
      <c r="D24" s="7"/>
      <c r="E24" s="7"/>
      <c r="F24" s="7"/>
      <c r="G24" s="11"/>
      <c r="H24" s="7"/>
      <c r="I24" s="7"/>
      <c r="J24" s="10"/>
      <c r="K24" s="10"/>
      <c r="L24" s="7"/>
      <c r="M24" s="3"/>
    </row>
    <row r="25" spans="1:19">
      <c r="A25" s="3"/>
      <c r="B25" s="7"/>
      <c r="C25" s="15" t="s">
        <v>13</v>
      </c>
      <c r="D25" s="7"/>
      <c r="E25" s="7"/>
      <c r="F25" s="7"/>
      <c r="G25" s="7"/>
      <c r="H25" s="7"/>
      <c r="I25" s="7"/>
      <c r="J25" s="10"/>
      <c r="K25" s="10"/>
      <c r="L25" s="7"/>
      <c r="M25" s="3"/>
    </row>
    <row r="26" spans="1:19">
      <c r="A26" s="3"/>
      <c r="B26" s="7"/>
      <c r="C26" s="7"/>
      <c r="D26" s="7"/>
      <c r="E26" s="7"/>
      <c r="F26" s="7"/>
      <c r="G26" s="7"/>
      <c r="H26" s="7"/>
      <c r="I26" s="7"/>
      <c r="J26" s="10"/>
      <c r="K26" s="10"/>
      <c r="L26" s="7"/>
      <c r="M26" s="3"/>
    </row>
    <row r="27" spans="1:19">
      <c r="A27" s="3"/>
      <c r="B27" s="7"/>
      <c r="C27" s="352" t="s">
        <v>14</v>
      </c>
      <c r="D27" s="352"/>
      <c r="E27" s="16" t="e">
        <f>+LINEST(E7:E18,D7:D18)</f>
        <v>#VALUE!</v>
      </c>
      <c r="F27" s="17" t="e">
        <f>+LINEST(F7:F18,D7:D18)</f>
        <v>#VALUE!</v>
      </c>
      <c r="G27" s="17" t="e">
        <f>+LINEST(G7:G18,D7:D18)</f>
        <v>#VALUE!</v>
      </c>
      <c r="H27" s="17" t="e">
        <f>+LINEST(H7:H18,D7:D18)</f>
        <v>#VALUE!</v>
      </c>
      <c r="I27" s="17" t="e">
        <f>+LINEST(I7:I18,D7:D18)</f>
        <v>#VALUE!</v>
      </c>
      <c r="J27" s="14"/>
      <c r="K27" s="14"/>
      <c r="L27" s="7"/>
      <c r="M27" s="3"/>
    </row>
    <row r="28" spans="1:19">
      <c r="A28" s="3"/>
      <c r="B28" s="7"/>
      <c r="C28" s="352" t="s">
        <v>15</v>
      </c>
      <c r="D28" s="352"/>
      <c r="E28" s="17" t="e">
        <f>+INTERCEPT(E7:E18,D7:D18)</f>
        <v>#REF!</v>
      </c>
      <c r="F28" s="17" t="e">
        <f>+INTERCEPT(F7:F18,D7:D18)</f>
        <v>#REF!</v>
      </c>
      <c r="G28" s="17" t="e">
        <f>+INTERCEPT(G7:G18,D7:D18)</f>
        <v>#REF!</v>
      </c>
      <c r="H28" s="17" t="e">
        <f>+INTERCEPT(H7:H18,D7:D18)</f>
        <v>#REF!</v>
      </c>
      <c r="I28" s="17" t="e">
        <f>+INTERCEPT(I7:I18,D7:D18)</f>
        <v>#REF!</v>
      </c>
      <c r="J28" s="14"/>
      <c r="K28" s="14"/>
      <c r="L28" s="7"/>
      <c r="M28" s="3"/>
    </row>
    <row r="29" spans="1:19">
      <c r="A29" s="3"/>
      <c r="B29" s="7"/>
      <c r="C29" s="352" t="s">
        <v>16</v>
      </c>
      <c r="D29" s="352"/>
      <c r="E29" s="16" t="e">
        <f>+RSQ(E7:E18,D7:D18)</f>
        <v>#REF!</v>
      </c>
      <c r="F29" s="17" t="e">
        <f>+RSQ(F7:F18,D7:D18)</f>
        <v>#REF!</v>
      </c>
      <c r="G29" s="16" t="e">
        <f>+RSQ(G7:G18,D7:D18)</f>
        <v>#REF!</v>
      </c>
      <c r="H29" s="16" t="e">
        <f>+RSQ(H7:H18,D7:D18)</f>
        <v>#REF!</v>
      </c>
      <c r="I29" s="16" t="e">
        <f>+RSQ(I7:I18,D7:D18)</f>
        <v>#REF!</v>
      </c>
      <c r="J29" s="53"/>
      <c r="K29" s="53"/>
      <c r="L29" s="7"/>
      <c r="M29" s="3"/>
    </row>
    <row r="30" spans="1:19">
      <c r="A30" s="3"/>
      <c r="B30" s="7"/>
      <c r="C30" s="7"/>
      <c r="D30" s="7"/>
      <c r="E30" s="7"/>
      <c r="F30" s="7"/>
      <c r="G30" s="7"/>
      <c r="H30" s="7"/>
      <c r="I30" s="7"/>
      <c r="J30" s="10"/>
      <c r="K30" s="10"/>
      <c r="L30" s="7"/>
      <c r="M30" s="3"/>
    </row>
    <row r="31" spans="1:19">
      <c r="A31" s="3"/>
      <c r="B31" s="353" t="s">
        <v>5</v>
      </c>
      <c r="C31" s="353"/>
      <c r="D31" s="353" t="str">
        <f>+D5</f>
        <v xml:space="preserve">Producción </v>
      </c>
      <c r="E31" s="353" t="s">
        <v>7</v>
      </c>
      <c r="F31" s="54" t="s">
        <v>72</v>
      </c>
      <c r="G31" s="54"/>
      <c r="H31" s="54"/>
      <c r="I31" s="54"/>
      <c r="J31" s="350" t="s">
        <v>48</v>
      </c>
      <c r="K31" s="350"/>
      <c r="L31" s="350" t="s">
        <v>73</v>
      </c>
      <c r="M31" s="350"/>
      <c r="N31" s="350" t="s">
        <v>70</v>
      </c>
      <c r="O31" s="350"/>
      <c r="P31" s="350" t="s">
        <v>71</v>
      </c>
      <c r="Q31" s="350"/>
      <c r="R31" s="350" t="s">
        <v>27</v>
      </c>
      <c r="S31" s="350"/>
    </row>
    <row r="32" spans="1:19" ht="45">
      <c r="A32" s="3"/>
      <c r="B32" s="353"/>
      <c r="C32" s="353"/>
      <c r="D32" s="353"/>
      <c r="E32" s="353"/>
      <c r="F32" s="47" t="e">
        <f>+F5</f>
        <v>#REF!</v>
      </c>
      <c r="G32" s="47" t="s">
        <v>70</v>
      </c>
      <c r="H32" s="47" t="s">
        <v>63</v>
      </c>
      <c r="I32" s="47" t="s">
        <v>27</v>
      </c>
      <c r="J32" s="47" t="s">
        <v>17</v>
      </c>
      <c r="K32" s="47" t="s">
        <v>18</v>
      </c>
      <c r="L32" s="47" t="s">
        <v>17</v>
      </c>
      <c r="M32" s="50" t="s">
        <v>73</v>
      </c>
      <c r="N32" s="47" t="s">
        <v>17</v>
      </c>
      <c r="O32" s="47" t="s">
        <v>70</v>
      </c>
      <c r="P32" s="47" t="s">
        <v>17</v>
      </c>
      <c r="Q32" s="47" t="s">
        <v>71</v>
      </c>
      <c r="R32" s="47" t="s">
        <v>27</v>
      </c>
      <c r="S32" s="47" t="s">
        <v>71</v>
      </c>
    </row>
    <row r="33" spans="1:19">
      <c r="A33" s="3"/>
      <c r="B33" s="353"/>
      <c r="C33" s="353"/>
      <c r="D33" s="47" t="e">
        <f t="shared" ref="D33:D45" si="4">+D6</f>
        <v>#REF!</v>
      </c>
      <c r="E33" s="47" t="s">
        <v>6</v>
      </c>
      <c r="F33" s="47" t="e">
        <f>+F6</f>
        <v>#REF!</v>
      </c>
      <c r="G33" s="47" t="s">
        <v>25</v>
      </c>
      <c r="H33" s="47" t="s">
        <v>64</v>
      </c>
      <c r="I33" s="47" t="s">
        <v>39</v>
      </c>
      <c r="J33" s="47" t="e">
        <f>+D33</f>
        <v>#REF!</v>
      </c>
      <c r="K33" s="47" t="s">
        <v>6</v>
      </c>
      <c r="L33" s="47" t="e">
        <f>+J33</f>
        <v>#REF!</v>
      </c>
      <c r="M33" s="47" t="e">
        <f>+F33</f>
        <v>#REF!</v>
      </c>
      <c r="N33" s="47" t="e">
        <f>+L33</f>
        <v>#REF!</v>
      </c>
      <c r="O33" s="47" t="s">
        <v>75</v>
      </c>
      <c r="P33" s="47" t="s">
        <v>75</v>
      </c>
      <c r="Q33" s="47" t="s">
        <v>39</v>
      </c>
      <c r="R33" s="47" t="s">
        <v>75</v>
      </c>
      <c r="S33" s="47" t="s">
        <v>39</v>
      </c>
    </row>
    <row r="34" spans="1:19" s="1" customFormat="1">
      <c r="A34" s="3"/>
      <c r="B34" s="55">
        <v>1</v>
      </c>
      <c r="C34" s="56" t="e">
        <f t="shared" ref="C34:C45" si="5">+C7</f>
        <v>#REF!</v>
      </c>
      <c r="D34" s="46" t="e">
        <f t="shared" si="4"/>
        <v>#REF!</v>
      </c>
      <c r="E34" s="46" t="e">
        <f>+D34*$E$27+$E$28</f>
        <v>#REF!</v>
      </c>
      <c r="F34" s="46" t="e">
        <f>+D34*$F$27+$F$28</f>
        <v>#REF!</v>
      </c>
      <c r="G34" s="57" t="e">
        <f>+(D34*$G$27)+$G$28</f>
        <v>#REF!</v>
      </c>
      <c r="H34" s="57" t="e">
        <f>+D34*$H$27+$H$28</f>
        <v>#REF!</v>
      </c>
      <c r="I34" s="46" t="e">
        <f>+D34*$I$27+$I$28</f>
        <v>#REF!</v>
      </c>
      <c r="J34" s="46" t="e">
        <f t="shared" ref="J34:J45" si="6">+IF(K34="","",D34)</f>
        <v>#REF!</v>
      </c>
      <c r="K34" s="46" t="e">
        <f t="shared" ref="K34:K45" si="7">+IF((E7-E34)&lt;0,E7,"")</f>
        <v>#REF!</v>
      </c>
      <c r="L34" s="46" t="e">
        <f t="shared" ref="L34:L45" si="8">+IF(M34="","",D34)</f>
        <v>#REF!</v>
      </c>
      <c r="M34" s="46" t="e">
        <f t="shared" ref="M34:M45" si="9">+IF((F7-F34)&lt;0,F7,"")</f>
        <v>#REF!</v>
      </c>
      <c r="N34" s="46" t="e">
        <f t="shared" ref="N34:N45" si="10">+IF(O34="","",D34)</f>
        <v>#REF!</v>
      </c>
      <c r="O34" s="46" t="e">
        <f>+IF((G7-G34)&lt;0,G7,"")</f>
        <v>#REF!</v>
      </c>
      <c r="P34" s="46" t="e">
        <f>+IF(Q34="","",D34)</f>
        <v>#REF!</v>
      </c>
      <c r="Q34" s="46" t="e">
        <f>+IF((H7-H34)&lt;0,H7,"")</f>
        <v>#REF!</v>
      </c>
      <c r="R34" s="46" t="e">
        <f>+IF(S34="","",D34)</f>
        <v>#REF!</v>
      </c>
      <c r="S34" s="46" t="e">
        <f>+IF((I7-I34)&lt;0,I7,"")</f>
        <v>#REF!</v>
      </c>
    </row>
    <row r="35" spans="1:19">
      <c r="A35" s="3"/>
      <c r="B35" s="55">
        <v>2</v>
      </c>
      <c r="C35" s="56" t="e">
        <f t="shared" si="5"/>
        <v>#REF!</v>
      </c>
      <c r="D35" s="46" t="e">
        <f t="shared" si="4"/>
        <v>#REF!</v>
      </c>
      <c r="E35" s="46" t="e">
        <f t="shared" ref="E35:E45" si="11">+D35*$E$27+$E$28</f>
        <v>#REF!</v>
      </c>
      <c r="F35" s="46" t="e">
        <f t="shared" ref="F35:F45" si="12">+D35*$F$27+$F$28</f>
        <v>#REF!</v>
      </c>
      <c r="G35" s="57" t="e">
        <f t="shared" ref="G35:G45" si="13">+D35*$G$27+$G$28</f>
        <v>#REF!</v>
      </c>
      <c r="H35" s="57" t="e">
        <f t="shared" ref="H35:H45" si="14">+D35*$H$27+$H$28</f>
        <v>#REF!</v>
      </c>
      <c r="I35" s="46" t="e">
        <f t="shared" ref="I35:I45" si="15">+D35*$I$27+$I$28</f>
        <v>#REF!</v>
      </c>
      <c r="J35" s="46" t="e">
        <f t="shared" si="6"/>
        <v>#REF!</v>
      </c>
      <c r="K35" s="46" t="e">
        <f t="shared" si="7"/>
        <v>#REF!</v>
      </c>
      <c r="L35" s="46" t="e">
        <f t="shared" si="8"/>
        <v>#REF!</v>
      </c>
      <c r="M35" s="46" t="e">
        <f t="shared" si="9"/>
        <v>#REF!</v>
      </c>
      <c r="N35" s="46" t="e">
        <f t="shared" si="10"/>
        <v>#REF!</v>
      </c>
      <c r="O35" s="46" t="e">
        <f t="shared" ref="O35:O45" si="16">+IF((G8-G35)&lt;0,G8,"")</f>
        <v>#REF!</v>
      </c>
      <c r="P35" s="46" t="e">
        <f t="shared" ref="P35:P45" si="17">+IF(Q35="","",D35)</f>
        <v>#REF!</v>
      </c>
      <c r="Q35" s="46" t="e">
        <f t="shared" ref="Q35:Q45" si="18">+IF((H8-H35)&lt;0,H8,"")</f>
        <v>#REF!</v>
      </c>
      <c r="R35" s="46" t="e">
        <f t="shared" ref="R35:R45" si="19">+IF(S35="","",D35)</f>
        <v>#REF!</v>
      </c>
      <c r="S35" s="46" t="e">
        <f t="shared" ref="S35:S45" si="20">+IF((I8-I35)&lt;0,I8,"")</f>
        <v>#REF!</v>
      </c>
    </row>
    <row r="36" spans="1:19">
      <c r="A36" s="3"/>
      <c r="B36" s="55">
        <v>3</v>
      </c>
      <c r="C36" s="56" t="e">
        <f t="shared" si="5"/>
        <v>#REF!</v>
      </c>
      <c r="D36" s="46" t="e">
        <f t="shared" si="4"/>
        <v>#REF!</v>
      </c>
      <c r="E36" s="46" t="e">
        <f t="shared" si="11"/>
        <v>#REF!</v>
      </c>
      <c r="F36" s="46" t="e">
        <f t="shared" si="12"/>
        <v>#REF!</v>
      </c>
      <c r="G36" s="57" t="e">
        <f t="shared" si="13"/>
        <v>#REF!</v>
      </c>
      <c r="H36" s="57" t="e">
        <f t="shared" si="14"/>
        <v>#REF!</v>
      </c>
      <c r="I36" s="46" t="e">
        <f t="shared" si="15"/>
        <v>#REF!</v>
      </c>
      <c r="J36" s="46" t="e">
        <f t="shared" si="6"/>
        <v>#REF!</v>
      </c>
      <c r="K36" s="46" t="e">
        <f t="shared" si="7"/>
        <v>#REF!</v>
      </c>
      <c r="L36" s="46" t="e">
        <f t="shared" si="8"/>
        <v>#REF!</v>
      </c>
      <c r="M36" s="46" t="e">
        <f t="shared" si="9"/>
        <v>#REF!</v>
      </c>
      <c r="N36" s="46" t="e">
        <f t="shared" si="10"/>
        <v>#REF!</v>
      </c>
      <c r="O36" s="46" t="e">
        <f t="shared" si="16"/>
        <v>#REF!</v>
      </c>
      <c r="P36" s="46" t="e">
        <f t="shared" si="17"/>
        <v>#REF!</v>
      </c>
      <c r="Q36" s="46" t="e">
        <f t="shared" si="18"/>
        <v>#REF!</v>
      </c>
      <c r="R36" s="46" t="e">
        <f t="shared" si="19"/>
        <v>#REF!</v>
      </c>
      <c r="S36" s="46" t="e">
        <f t="shared" si="20"/>
        <v>#REF!</v>
      </c>
    </row>
    <row r="37" spans="1:19">
      <c r="A37" s="3"/>
      <c r="B37" s="55">
        <v>4</v>
      </c>
      <c r="C37" s="56" t="e">
        <f t="shared" si="5"/>
        <v>#REF!</v>
      </c>
      <c r="D37" s="46" t="e">
        <f t="shared" si="4"/>
        <v>#REF!</v>
      </c>
      <c r="E37" s="46" t="e">
        <f t="shared" si="11"/>
        <v>#REF!</v>
      </c>
      <c r="F37" s="46" t="e">
        <f t="shared" si="12"/>
        <v>#REF!</v>
      </c>
      <c r="G37" s="57" t="e">
        <f t="shared" si="13"/>
        <v>#REF!</v>
      </c>
      <c r="H37" s="57" t="e">
        <f t="shared" si="14"/>
        <v>#REF!</v>
      </c>
      <c r="I37" s="46" t="e">
        <f t="shared" si="15"/>
        <v>#REF!</v>
      </c>
      <c r="J37" s="46" t="e">
        <f t="shared" si="6"/>
        <v>#REF!</v>
      </c>
      <c r="K37" s="46" t="e">
        <f t="shared" si="7"/>
        <v>#REF!</v>
      </c>
      <c r="L37" s="46" t="e">
        <f t="shared" si="8"/>
        <v>#REF!</v>
      </c>
      <c r="M37" s="46" t="e">
        <f t="shared" si="9"/>
        <v>#REF!</v>
      </c>
      <c r="N37" s="46" t="e">
        <f t="shared" si="10"/>
        <v>#REF!</v>
      </c>
      <c r="O37" s="46" t="e">
        <f t="shared" si="16"/>
        <v>#REF!</v>
      </c>
      <c r="P37" s="46" t="e">
        <f t="shared" si="17"/>
        <v>#REF!</v>
      </c>
      <c r="Q37" s="46" t="e">
        <f t="shared" si="18"/>
        <v>#REF!</v>
      </c>
      <c r="R37" s="46" t="e">
        <f t="shared" si="19"/>
        <v>#REF!</v>
      </c>
      <c r="S37" s="46" t="e">
        <f t="shared" si="20"/>
        <v>#REF!</v>
      </c>
    </row>
    <row r="38" spans="1:19">
      <c r="A38" s="3"/>
      <c r="B38" s="55">
        <v>5</v>
      </c>
      <c r="C38" s="56" t="e">
        <f t="shared" si="5"/>
        <v>#REF!</v>
      </c>
      <c r="D38" s="46" t="e">
        <f t="shared" si="4"/>
        <v>#REF!</v>
      </c>
      <c r="E38" s="46" t="e">
        <f t="shared" si="11"/>
        <v>#REF!</v>
      </c>
      <c r="F38" s="46" t="e">
        <f t="shared" si="12"/>
        <v>#REF!</v>
      </c>
      <c r="G38" s="57" t="e">
        <f t="shared" si="13"/>
        <v>#REF!</v>
      </c>
      <c r="H38" s="57" t="e">
        <f t="shared" si="14"/>
        <v>#REF!</v>
      </c>
      <c r="I38" s="46" t="e">
        <f t="shared" si="15"/>
        <v>#REF!</v>
      </c>
      <c r="J38" s="46" t="e">
        <f t="shared" si="6"/>
        <v>#REF!</v>
      </c>
      <c r="K38" s="46" t="e">
        <f t="shared" si="7"/>
        <v>#REF!</v>
      </c>
      <c r="L38" s="46" t="e">
        <f t="shared" si="8"/>
        <v>#REF!</v>
      </c>
      <c r="M38" s="46" t="e">
        <f t="shared" si="9"/>
        <v>#REF!</v>
      </c>
      <c r="N38" s="46" t="e">
        <f t="shared" si="10"/>
        <v>#REF!</v>
      </c>
      <c r="O38" s="46" t="e">
        <f t="shared" si="16"/>
        <v>#REF!</v>
      </c>
      <c r="P38" s="46" t="e">
        <f t="shared" si="17"/>
        <v>#REF!</v>
      </c>
      <c r="Q38" s="46" t="e">
        <f t="shared" si="18"/>
        <v>#REF!</v>
      </c>
      <c r="R38" s="46" t="e">
        <f t="shared" si="19"/>
        <v>#REF!</v>
      </c>
      <c r="S38" s="46" t="e">
        <f t="shared" si="20"/>
        <v>#REF!</v>
      </c>
    </row>
    <row r="39" spans="1:19">
      <c r="A39" s="3"/>
      <c r="B39" s="55">
        <v>6</v>
      </c>
      <c r="C39" s="56" t="e">
        <f t="shared" si="5"/>
        <v>#REF!</v>
      </c>
      <c r="D39" s="46" t="e">
        <f t="shared" si="4"/>
        <v>#REF!</v>
      </c>
      <c r="E39" s="46" t="e">
        <f t="shared" si="11"/>
        <v>#REF!</v>
      </c>
      <c r="F39" s="46" t="e">
        <f t="shared" si="12"/>
        <v>#REF!</v>
      </c>
      <c r="G39" s="57" t="e">
        <f t="shared" si="13"/>
        <v>#REF!</v>
      </c>
      <c r="H39" s="57" t="e">
        <f t="shared" si="14"/>
        <v>#REF!</v>
      </c>
      <c r="I39" s="46" t="e">
        <f t="shared" si="15"/>
        <v>#REF!</v>
      </c>
      <c r="J39" s="46" t="e">
        <f t="shared" si="6"/>
        <v>#REF!</v>
      </c>
      <c r="K39" s="46" t="e">
        <f t="shared" si="7"/>
        <v>#REF!</v>
      </c>
      <c r="L39" s="46" t="e">
        <f t="shared" si="8"/>
        <v>#REF!</v>
      </c>
      <c r="M39" s="46" t="e">
        <f t="shared" si="9"/>
        <v>#REF!</v>
      </c>
      <c r="N39" s="46" t="e">
        <f t="shared" si="10"/>
        <v>#REF!</v>
      </c>
      <c r="O39" s="46" t="e">
        <f t="shared" si="16"/>
        <v>#REF!</v>
      </c>
      <c r="P39" s="46" t="e">
        <f t="shared" si="17"/>
        <v>#REF!</v>
      </c>
      <c r="Q39" s="46" t="e">
        <f t="shared" si="18"/>
        <v>#REF!</v>
      </c>
      <c r="R39" s="46" t="e">
        <f t="shared" si="19"/>
        <v>#REF!</v>
      </c>
      <c r="S39" s="46" t="e">
        <f t="shared" si="20"/>
        <v>#REF!</v>
      </c>
    </row>
    <row r="40" spans="1:19">
      <c r="A40" s="3"/>
      <c r="B40" s="55">
        <v>7</v>
      </c>
      <c r="C40" s="56" t="e">
        <f t="shared" si="5"/>
        <v>#REF!</v>
      </c>
      <c r="D40" s="46" t="e">
        <f t="shared" si="4"/>
        <v>#REF!</v>
      </c>
      <c r="E40" s="46" t="e">
        <f t="shared" si="11"/>
        <v>#REF!</v>
      </c>
      <c r="F40" s="46" t="e">
        <f t="shared" si="12"/>
        <v>#REF!</v>
      </c>
      <c r="G40" s="57" t="e">
        <f t="shared" si="13"/>
        <v>#REF!</v>
      </c>
      <c r="H40" s="57" t="e">
        <f t="shared" si="14"/>
        <v>#REF!</v>
      </c>
      <c r="I40" s="46" t="e">
        <f t="shared" si="15"/>
        <v>#REF!</v>
      </c>
      <c r="J40" s="46" t="e">
        <f t="shared" si="6"/>
        <v>#REF!</v>
      </c>
      <c r="K40" s="46" t="e">
        <f t="shared" si="7"/>
        <v>#REF!</v>
      </c>
      <c r="L40" s="46" t="e">
        <f t="shared" si="8"/>
        <v>#REF!</v>
      </c>
      <c r="M40" s="46" t="e">
        <f t="shared" si="9"/>
        <v>#REF!</v>
      </c>
      <c r="N40" s="46" t="e">
        <f t="shared" si="10"/>
        <v>#REF!</v>
      </c>
      <c r="O40" s="46" t="e">
        <f t="shared" si="16"/>
        <v>#REF!</v>
      </c>
      <c r="P40" s="46" t="e">
        <f t="shared" si="17"/>
        <v>#REF!</v>
      </c>
      <c r="Q40" s="46" t="e">
        <f t="shared" si="18"/>
        <v>#REF!</v>
      </c>
      <c r="R40" s="46" t="e">
        <f t="shared" si="19"/>
        <v>#REF!</v>
      </c>
      <c r="S40" s="46" t="e">
        <f t="shared" si="20"/>
        <v>#REF!</v>
      </c>
    </row>
    <row r="41" spans="1:19">
      <c r="A41" s="3"/>
      <c r="B41" s="55">
        <v>8</v>
      </c>
      <c r="C41" s="56" t="e">
        <f t="shared" si="5"/>
        <v>#REF!</v>
      </c>
      <c r="D41" s="46" t="e">
        <f t="shared" si="4"/>
        <v>#REF!</v>
      </c>
      <c r="E41" s="46" t="e">
        <f t="shared" si="11"/>
        <v>#REF!</v>
      </c>
      <c r="F41" s="46" t="e">
        <f t="shared" si="12"/>
        <v>#REF!</v>
      </c>
      <c r="G41" s="57" t="e">
        <f t="shared" si="13"/>
        <v>#REF!</v>
      </c>
      <c r="H41" s="57" t="e">
        <f t="shared" si="14"/>
        <v>#REF!</v>
      </c>
      <c r="I41" s="46" t="e">
        <f t="shared" si="15"/>
        <v>#REF!</v>
      </c>
      <c r="J41" s="46" t="e">
        <f t="shared" si="6"/>
        <v>#REF!</v>
      </c>
      <c r="K41" s="46" t="e">
        <f t="shared" si="7"/>
        <v>#REF!</v>
      </c>
      <c r="L41" s="46" t="e">
        <f t="shared" si="8"/>
        <v>#REF!</v>
      </c>
      <c r="M41" s="46" t="e">
        <f t="shared" si="9"/>
        <v>#REF!</v>
      </c>
      <c r="N41" s="46" t="e">
        <f t="shared" si="10"/>
        <v>#REF!</v>
      </c>
      <c r="O41" s="46" t="e">
        <f t="shared" si="16"/>
        <v>#REF!</v>
      </c>
      <c r="P41" s="46" t="e">
        <f t="shared" si="17"/>
        <v>#REF!</v>
      </c>
      <c r="Q41" s="46" t="e">
        <f t="shared" si="18"/>
        <v>#REF!</v>
      </c>
      <c r="R41" s="46" t="e">
        <f t="shared" si="19"/>
        <v>#REF!</v>
      </c>
      <c r="S41" s="46" t="e">
        <f t="shared" si="20"/>
        <v>#REF!</v>
      </c>
    </row>
    <row r="42" spans="1:19">
      <c r="A42" s="3"/>
      <c r="B42" s="55">
        <v>9</v>
      </c>
      <c r="C42" s="56" t="e">
        <f t="shared" si="5"/>
        <v>#REF!</v>
      </c>
      <c r="D42" s="46" t="e">
        <f t="shared" si="4"/>
        <v>#REF!</v>
      </c>
      <c r="E42" s="46" t="e">
        <f t="shared" si="11"/>
        <v>#REF!</v>
      </c>
      <c r="F42" s="46" t="e">
        <f t="shared" si="12"/>
        <v>#REF!</v>
      </c>
      <c r="G42" s="57" t="e">
        <f t="shared" si="13"/>
        <v>#REF!</v>
      </c>
      <c r="H42" s="57" t="e">
        <f t="shared" si="14"/>
        <v>#REF!</v>
      </c>
      <c r="I42" s="46" t="e">
        <f t="shared" si="15"/>
        <v>#REF!</v>
      </c>
      <c r="J42" s="46" t="e">
        <f t="shared" si="6"/>
        <v>#REF!</v>
      </c>
      <c r="K42" s="46" t="e">
        <f t="shared" si="7"/>
        <v>#REF!</v>
      </c>
      <c r="L42" s="46" t="e">
        <f t="shared" si="8"/>
        <v>#REF!</v>
      </c>
      <c r="M42" s="46" t="e">
        <f t="shared" si="9"/>
        <v>#REF!</v>
      </c>
      <c r="N42" s="46" t="e">
        <f t="shared" si="10"/>
        <v>#REF!</v>
      </c>
      <c r="O42" s="46" t="e">
        <f t="shared" si="16"/>
        <v>#REF!</v>
      </c>
      <c r="P42" s="46" t="e">
        <f t="shared" si="17"/>
        <v>#REF!</v>
      </c>
      <c r="Q42" s="46" t="e">
        <f t="shared" si="18"/>
        <v>#REF!</v>
      </c>
      <c r="R42" s="46" t="e">
        <f t="shared" si="19"/>
        <v>#REF!</v>
      </c>
      <c r="S42" s="46" t="e">
        <f t="shared" si="20"/>
        <v>#REF!</v>
      </c>
    </row>
    <row r="43" spans="1:19">
      <c r="A43" s="3"/>
      <c r="B43" s="55">
        <v>10</v>
      </c>
      <c r="C43" s="56" t="e">
        <f t="shared" si="5"/>
        <v>#REF!</v>
      </c>
      <c r="D43" s="46" t="e">
        <f t="shared" si="4"/>
        <v>#REF!</v>
      </c>
      <c r="E43" s="46" t="e">
        <f t="shared" si="11"/>
        <v>#REF!</v>
      </c>
      <c r="F43" s="46" t="e">
        <f t="shared" si="12"/>
        <v>#REF!</v>
      </c>
      <c r="G43" s="57" t="e">
        <f t="shared" si="13"/>
        <v>#REF!</v>
      </c>
      <c r="H43" s="57" t="e">
        <f t="shared" si="14"/>
        <v>#REF!</v>
      </c>
      <c r="I43" s="46" t="e">
        <f t="shared" si="15"/>
        <v>#REF!</v>
      </c>
      <c r="J43" s="46" t="e">
        <f t="shared" si="6"/>
        <v>#REF!</v>
      </c>
      <c r="K43" s="46" t="e">
        <f t="shared" si="7"/>
        <v>#REF!</v>
      </c>
      <c r="L43" s="46" t="e">
        <f t="shared" si="8"/>
        <v>#REF!</v>
      </c>
      <c r="M43" s="46" t="e">
        <f t="shared" si="9"/>
        <v>#REF!</v>
      </c>
      <c r="N43" s="46" t="e">
        <f t="shared" si="10"/>
        <v>#REF!</v>
      </c>
      <c r="O43" s="46" t="e">
        <f t="shared" si="16"/>
        <v>#REF!</v>
      </c>
      <c r="P43" s="46" t="e">
        <f t="shared" si="17"/>
        <v>#REF!</v>
      </c>
      <c r="Q43" s="46" t="e">
        <f t="shared" si="18"/>
        <v>#REF!</v>
      </c>
      <c r="R43" s="46" t="e">
        <f t="shared" si="19"/>
        <v>#REF!</v>
      </c>
      <c r="S43" s="46" t="e">
        <f t="shared" si="20"/>
        <v>#REF!</v>
      </c>
    </row>
    <row r="44" spans="1:19">
      <c r="A44" s="3"/>
      <c r="B44" s="55">
        <v>11</v>
      </c>
      <c r="C44" s="56" t="e">
        <f t="shared" si="5"/>
        <v>#REF!</v>
      </c>
      <c r="D44" s="46" t="e">
        <f t="shared" si="4"/>
        <v>#REF!</v>
      </c>
      <c r="E44" s="46" t="e">
        <f t="shared" si="11"/>
        <v>#REF!</v>
      </c>
      <c r="F44" s="46" t="e">
        <f t="shared" si="12"/>
        <v>#REF!</v>
      </c>
      <c r="G44" s="57" t="e">
        <f t="shared" si="13"/>
        <v>#REF!</v>
      </c>
      <c r="H44" s="57" t="e">
        <f t="shared" si="14"/>
        <v>#REF!</v>
      </c>
      <c r="I44" s="46" t="e">
        <f t="shared" si="15"/>
        <v>#REF!</v>
      </c>
      <c r="J44" s="46" t="e">
        <f t="shared" si="6"/>
        <v>#REF!</v>
      </c>
      <c r="K44" s="46" t="e">
        <f t="shared" si="7"/>
        <v>#REF!</v>
      </c>
      <c r="L44" s="46" t="e">
        <f t="shared" si="8"/>
        <v>#REF!</v>
      </c>
      <c r="M44" s="46" t="e">
        <f t="shared" si="9"/>
        <v>#REF!</v>
      </c>
      <c r="N44" s="46" t="e">
        <f t="shared" si="10"/>
        <v>#REF!</v>
      </c>
      <c r="O44" s="46" t="e">
        <f t="shared" si="16"/>
        <v>#REF!</v>
      </c>
      <c r="P44" s="46" t="e">
        <f t="shared" si="17"/>
        <v>#REF!</v>
      </c>
      <c r="Q44" s="46" t="e">
        <f t="shared" si="18"/>
        <v>#REF!</v>
      </c>
      <c r="R44" s="46" t="e">
        <f t="shared" si="19"/>
        <v>#REF!</v>
      </c>
      <c r="S44" s="46" t="e">
        <f t="shared" si="20"/>
        <v>#REF!</v>
      </c>
    </row>
    <row r="45" spans="1:19">
      <c r="A45" s="3"/>
      <c r="B45" s="55">
        <v>12</v>
      </c>
      <c r="C45" s="56" t="e">
        <f t="shared" si="5"/>
        <v>#REF!</v>
      </c>
      <c r="D45" s="46" t="e">
        <f t="shared" si="4"/>
        <v>#REF!</v>
      </c>
      <c r="E45" s="46" t="e">
        <f t="shared" si="11"/>
        <v>#REF!</v>
      </c>
      <c r="F45" s="46" t="e">
        <f t="shared" si="12"/>
        <v>#REF!</v>
      </c>
      <c r="G45" s="57" t="e">
        <f t="shared" si="13"/>
        <v>#REF!</v>
      </c>
      <c r="H45" s="57" t="e">
        <f t="shared" si="14"/>
        <v>#REF!</v>
      </c>
      <c r="I45" s="46" t="e">
        <f t="shared" si="15"/>
        <v>#REF!</v>
      </c>
      <c r="J45" s="46" t="e">
        <f t="shared" si="6"/>
        <v>#REF!</v>
      </c>
      <c r="K45" s="46" t="e">
        <f t="shared" si="7"/>
        <v>#REF!</v>
      </c>
      <c r="L45" s="46" t="e">
        <f t="shared" si="8"/>
        <v>#REF!</v>
      </c>
      <c r="M45" s="46" t="e">
        <f t="shared" si="9"/>
        <v>#REF!</v>
      </c>
      <c r="N45" s="46" t="e">
        <f t="shared" si="10"/>
        <v>#REF!</v>
      </c>
      <c r="O45" s="46" t="e">
        <f t="shared" si="16"/>
        <v>#REF!</v>
      </c>
      <c r="P45" s="46" t="e">
        <f t="shared" si="17"/>
        <v>#REF!</v>
      </c>
      <c r="Q45" s="46" t="e">
        <f t="shared" si="18"/>
        <v>#REF!</v>
      </c>
      <c r="R45" s="46" t="e">
        <f t="shared" si="19"/>
        <v>#REF!</v>
      </c>
      <c r="S45" s="46" t="e">
        <f t="shared" si="20"/>
        <v>#REF!</v>
      </c>
    </row>
    <row r="46" spans="1:19">
      <c r="A46" s="3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3"/>
    </row>
    <row r="47" spans="1:19">
      <c r="A47" s="3"/>
      <c r="B47" s="7"/>
      <c r="C47" s="7"/>
      <c r="D47" s="7"/>
      <c r="E47" s="7" t="str">
        <f>+E5</f>
        <v xml:space="preserve">Energia electrica </v>
      </c>
      <c r="F47" s="7" t="e">
        <f t="shared" ref="F47:I47" si="21">+F5</f>
        <v>#REF!</v>
      </c>
      <c r="G47" s="7" t="str">
        <f t="shared" si="21"/>
        <v xml:space="preserve">Biomasa </v>
      </c>
      <c r="H47" s="7" t="e">
        <f>+H5</f>
        <v>#REF!</v>
      </c>
      <c r="I47" s="7" t="e">
        <f t="shared" si="21"/>
        <v>#REF!</v>
      </c>
      <c r="J47" s="7"/>
      <c r="K47" s="7"/>
      <c r="L47" s="7"/>
      <c r="M47" s="3"/>
    </row>
    <row r="48" spans="1:19">
      <c r="A48" s="3"/>
      <c r="B48" s="7"/>
      <c r="C48" s="351" t="s">
        <v>14</v>
      </c>
      <c r="D48" s="351"/>
      <c r="E48" s="18" t="e">
        <f>+SLOPE(K34:K45,J34:J45)</f>
        <v>#REF!</v>
      </c>
      <c r="F48" s="18" t="e">
        <f>+SLOPE(M34:M45,L34:L45)</f>
        <v>#REF!</v>
      </c>
      <c r="G48" s="18" t="e">
        <f>+SLOPE(O34:O45,N34:N45)</f>
        <v>#REF!</v>
      </c>
      <c r="H48" s="18" t="e">
        <f>+SLOPE(Q34:Q45,P34:P45)</f>
        <v>#REF!</v>
      </c>
      <c r="I48" s="18" t="e">
        <f>+SLOPE(S34:S45,R34:R45)</f>
        <v>#REF!</v>
      </c>
      <c r="J48" s="7"/>
      <c r="K48" s="7"/>
      <c r="L48" s="7"/>
      <c r="M48" s="3"/>
    </row>
    <row r="49" spans="1:13">
      <c r="A49" s="3"/>
      <c r="B49" s="7"/>
      <c r="C49" s="351" t="s">
        <v>15</v>
      </c>
      <c r="D49" s="351"/>
      <c r="E49" s="19" t="e">
        <f>+INTERCEPT(K34:K45,J34:J45)</f>
        <v>#REF!</v>
      </c>
      <c r="F49" s="19" t="e">
        <f>+INTERCEPT(M34:M45,L34:L45)</f>
        <v>#REF!</v>
      </c>
      <c r="G49" s="19" t="e">
        <f>+INTERCEPT(O34:O45,N34:N45)</f>
        <v>#REF!</v>
      </c>
      <c r="H49" s="19" t="e">
        <f>+INTERCEPT(Q34:Q45,P34:P45)</f>
        <v>#REF!</v>
      </c>
      <c r="I49" s="19" t="e">
        <f>+INTERCEPT(S34:S45,R34:R45)</f>
        <v>#REF!</v>
      </c>
      <c r="J49" s="7"/>
      <c r="K49" s="7"/>
      <c r="L49" s="7"/>
      <c r="M49" s="3"/>
    </row>
    <row r="50" spans="1:13">
      <c r="A50" s="3"/>
      <c r="B50" s="7"/>
      <c r="C50" s="351" t="s">
        <v>16</v>
      </c>
      <c r="D50" s="351"/>
      <c r="E50" s="18" t="e">
        <f>+RSQ(K34:K45,J34:J45)</f>
        <v>#REF!</v>
      </c>
      <c r="F50" s="18" t="e">
        <f>+RSQ(M34:M45,L34:L45)</f>
        <v>#REF!</v>
      </c>
      <c r="G50" s="18" t="e">
        <f>+RSQ(O34:O45,N34:N45)</f>
        <v>#REF!</v>
      </c>
      <c r="H50" s="18" t="e">
        <f>+RSQ(Q34:Q45,P34:P45)</f>
        <v>#REF!</v>
      </c>
      <c r="I50" s="18" t="e">
        <f>+RSQ(S34:S45,R34:R45)</f>
        <v>#REF!</v>
      </c>
      <c r="J50" s="7"/>
      <c r="K50" s="7"/>
      <c r="L50" s="7"/>
      <c r="M50" s="3"/>
    </row>
    <row r="51" spans="1:13">
      <c r="A51" s="3"/>
      <c r="B51" s="7"/>
      <c r="C51" s="7"/>
      <c r="D51" s="7"/>
      <c r="E51" s="20"/>
      <c r="F51" s="7"/>
      <c r="G51" s="7"/>
      <c r="H51" s="7"/>
      <c r="I51" s="7"/>
      <c r="J51" s="7"/>
      <c r="K51" s="7"/>
      <c r="L51" s="7"/>
      <c r="M51" s="3"/>
    </row>
    <row r="52" spans="1:13">
      <c r="A52" s="3"/>
      <c r="B52" s="7"/>
      <c r="C52" s="7"/>
      <c r="D52" s="7"/>
      <c r="E52" s="20"/>
      <c r="F52" s="7"/>
      <c r="G52" s="7"/>
      <c r="H52" s="7"/>
      <c r="I52" s="7"/>
      <c r="J52" s="7"/>
      <c r="K52" s="7"/>
      <c r="L52" s="7"/>
      <c r="M52" s="3"/>
    </row>
    <row r="53" spans="1:13" ht="15" customHeight="1">
      <c r="B53" s="349" t="s">
        <v>5</v>
      </c>
      <c r="C53" s="349"/>
      <c r="D53" s="349" t="s">
        <v>54</v>
      </c>
      <c r="E53" s="349" t="s">
        <v>55</v>
      </c>
      <c r="F53" s="349" t="s">
        <v>56</v>
      </c>
      <c r="G53" s="353" t="s">
        <v>17</v>
      </c>
      <c r="H53" s="353" t="s">
        <v>59</v>
      </c>
      <c r="I53" s="353" t="s">
        <v>60</v>
      </c>
    </row>
    <row r="54" spans="1:13">
      <c r="B54" s="349"/>
      <c r="C54" s="349"/>
      <c r="D54" s="349"/>
      <c r="E54" s="349"/>
      <c r="F54" s="349"/>
      <c r="G54" s="353"/>
      <c r="H54" s="353"/>
      <c r="I54" s="353"/>
    </row>
    <row r="55" spans="1:13">
      <c r="B55" s="349"/>
      <c r="C55" s="349"/>
      <c r="D55" s="49" t="s">
        <v>25</v>
      </c>
      <c r="E55" s="49" t="s">
        <v>26</v>
      </c>
      <c r="F55" s="49" t="s">
        <v>26</v>
      </c>
      <c r="G55" s="47" t="s">
        <v>25</v>
      </c>
      <c r="H55" s="47" t="s">
        <v>6</v>
      </c>
      <c r="I55" s="47" t="s">
        <v>6</v>
      </c>
    </row>
    <row r="56" spans="1:13">
      <c r="B56" s="8">
        <v>1</v>
      </c>
      <c r="C56" s="9" t="str">
        <f>+'MATRIZ ENERGÉTICA'!A4</f>
        <v>Enero</v>
      </c>
      <c r="D56" s="42" t="e">
        <f>+#REF!</f>
        <v>#REF!</v>
      </c>
      <c r="E56" s="46">
        <f>+'MATRIZ ENERGÉTICA'!$F4</f>
        <v>742428.20880487491</v>
      </c>
      <c r="F56" s="33" t="e">
        <f t="shared" ref="F56:F67" si="22">+D56*$E$76+$E$77</f>
        <v>#REF!</v>
      </c>
      <c r="G56" s="46" t="e">
        <f>+IF(H56="","",D56)</f>
        <v>#REF!</v>
      </c>
      <c r="H56" s="46" t="e">
        <f>+IF((E56-F56)&lt;0,E56,"")</f>
        <v>#REF!</v>
      </c>
      <c r="I56" s="27" t="e">
        <f t="shared" ref="I56:I67" si="23">+D56*$I$76+$I$77</f>
        <v>#REF!</v>
      </c>
    </row>
    <row r="57" spans="1:13">
      <c r="B57" s="8">
        <v>2</v>
      </c>
      <c r="C57" s="9" t="str">
        <f>+'MATRIZ ENERGÉTICA'!A5</f>
        <v>Febrero</v>
      </c>
      <c r="D57" s="42" t="e">
        <f>+#REF!</f>
        <v>#REF!</v>
      </c>
      <c r="E57" s="46">
        <f>+'MATRIZ ENERGÉTICA'!$F5</f>
        <v>769749.51093369001</v>
      </c>
      <c r="F57" s="33" t="e">
        <f t="shared" si="22"/>
        <v>#REF!</v>
      </c>
      <c r="G57" s="46" t="e">
        <f t="shared" ref="G57:G67" si="24">+IF(H57="","",D57)</f>
        <v>#REF!</v>
      </c>
      <c r="H57" s="46" t="e">
        <f t="shared" ref="H57:H67" si="25">+IF((E57-F57)&lt;0,E57,"")</f>
        <v>#REF!</v>
      </c>
      <c r="I57" s="27" t="e">
        <f t="shared" si="23"/>
        <v>#REF!</v>
      </c>
    </row>
    <row r="58" spans="1:13">
      <c r="B58" s="8">
        <v>3</v>
      </c>
      <c r="C58" s="9" t="str">
        <f>+'MATRIZ ENERGÉTICA'!A6</f>
        <v>Marzo</v>
      </c>
      <c r="D58" s="42" t="e">
        <f>+#REF!</f>
        <v>#REF!</v>
      </c>
      <c r="E58" s="46">
        <f>+'MATRIZ ENERGÉTICA'!$F6</f>
        <v>846148.00049318001</v>
      </c>
      <c r="F58" s="33" t="e">
        <f t="shared" si="22"/>
        <v>#REF!</v>
      </c>
      <c r="G58" s="46" t="e">
        <f t="shared" si="24"/>
        <v>#REF!</v>
      </c>
      <c r="H58" s="46" t="e">
        <f t="shared" si="25"/>
        <v>#REF!</v>
      </c>
      <c r="I58" s="27" t="e">
        <f t="shared" si="23"/>
        <v>#REF!</v>
      </c>
    </row>
    <row r="59" spans="1:13">
      <c r="B59" s="8">
        <v>4</v>
      </c>
      <c r="C59" s="9" t="str">
        <f>+'MATRIZ ENERGÉTICA'!A7</f>
        <v>Abril</v>
      </c>
      <c r="D59" s="42" t="e">
        <f>+#REF!</f>
        <v>#REF!</v>
      </c>
      <c r="E59" s="46">
        <f>+'MATRIZ ENERGÉTICA'!$F7</f>
        <v>614211.42189651995</v>
      </c>
      <c r="F59" s="33" t="e">
        <f t="shared" si="22"/>
        <v>#REF!</v>
      </c>
      <c r="G59" s="46" t="e">
        <f t="shared" si="24"/>
        <v>#REF!</v>
      </c>
      <c r="H59" s="46" t="e">
        <f t="shared" si="25"/>
        <v>#REF!</v>
      </c>
      <c r="I59" s="27" t="e">
        <f t="shared" si="23"/>
        <v>#REF!</v>
      </c>
    </row>
    <row r="60" spans="1:13">
      <c r="B60" s="8">
        <v>5</v>
      </c>
      <c r="C60" s="9" t="str">
        <f>+'MATRIZ ENERGÉTICA'!A8</f>
        <v>Mayo</v>
      </c>
      <c r="D60" s="42" t="e">
        <f>+#REF!</f>
        <v>#REF!</v>
      </c>
      <c r="E60" s="46">
        <f>+'MATRIZ ENERGÉTICA'!$F8</f>
        <v>686970.86957999994</v>
      </c>
      <c r="F60" s="33" t="e">
        <f t="shared" si="22"/>
        <v>#REF!</v>
      </c>
      <c r="G60" s="46" t="e">
        <f t="shared" si="24"/>
        <v>#REF!</v>
      </c>
      <c r="H60" s="46" t="e">
        <f t="shared" si="25"/>
        <v>#REF!</v>
      </c>
      <c r="I60" s="27" t="e">
        <f t="shared" si="23"/>
        <v>#REF!</v>
      </c>
    </row>
    <row r="61" spans="1:13">
      <c r="B61" s="8">
        <v>6</v>
      </c>
      <c r="C61" s="9" t="str">
        <f>+'MATRIZ ENERGÉTICA'!A9</f>
        <v>Junio</v>
      </c>
      <c r="D61" s="42" t="e">
        <f>+#REF!</f>
        <v>#REF!</v>
      </c>
      <c r="E61" s="46">
        <f>+'MATRIZ ENERGÉTICA'!$F9</f>
        <v>490301.43850032502</v>
      </c>
      <c r="F61" s="33" t="e">
        <f t="shared" si="22"/>
        <v>#REF!</v>
      </c>
      <c r="G61" s="46" t="e">
        <f t="shared" si="24"/>
        <v>#REF!</v>
      </c>
      <c r="H61" s="46" t="e">
        <f t="shared" si="25"/>
        <v>#REF!</v>
      </c>
      <c r="I61" s="27" t="e">
        <f t="shared" si="23"/>
        <v>#REF!</v>
      </c>
    </row>
    <row r="62" spans="1:13">
      <c r="B62" s="8">
        <v>7</v>
      </c>
      <c r="C62" s="9" t="str">
        <f>+'MATRIZ ENERGÉTICA'!A10</f>
        <v>Julio</v>
      </c>
      <c r="D62" s="42" t="e">
        <f>+#REF!</f>
        <v>#REF!</v>
      </c>
      <c r="E62" s="46">
        <f>+'MATRIZ ENERGÉTICA'!$F10</f>
        <v>744290.95346208999</v>
      </c>
      <c r="F62" s="33" t="e">
        <f t="shared" si="22"/>
        <v>#REF!</v>
      </c>
      <c r="G62" s="46" t="e">
        <f t="shared" si="24"/>
        <v>#REF!</v>
      </c>
      <c r="H62" s="46" t="e">
        <f t="shared" si="25"/>
        <v>#REF!</v>
      </c>
      <c r="I62" s="27" t="e">
        <f t="shared" si="23"/>
        <v>#REF!</v>
      </c>
    </row>
    <row r="63" spans="1:13">
      <c r="B63" s="8">
        <v>8</v>
      </c>
      <c r="C63" s="9" t="str">
        <f>+'MATRIZ ENERGÉTICA'!A11</f>
        <v>Agosto</v>
      </c>
      <c r="D63" s="42" t="e">
        <f>+#REF!</f>
        <v>#REF!</v>
      </c>
      <c r="E63" s="46">
        <f>+'MATRIZ ENERGÉTICA'!$F11</f>
        <v>826269.03480000002</v>
      </c>
      <c r="F63" s="33" t="e">
        <f t="shared" si="22"/>
        <v>#REF!</v>
      </c>
      <c r="G63" s="46" t="e">
        <f t="shared" si="24"/>
        <v>#REF!</v>
      </c>
      <c r="H63" s="46" t="e">
        <f t="shared" si="25"/>
        <v>#REF!</v>
      </c>
      <c r="I63" s="27" t="e">
        <f t="shared" si="23"/>
        <v>#REF!</v>
      </c>
    </row>
    <row r="64" spans="1:13">
      <c r="B64" s="8">
        <v>9</v>
      </c>
      <c r="C64" s="9" t="str">
        <f>+'MATRIZ ENERGÉTICA'!A12</f>
        <v>Septiembre</v>
      </c>
      <c r="D64" s="42" t="e">
        <f>+#REF!</f>
        <v>#REF!</v>
      </c>
      <c r="E64" s="46">
        <f>+'MATRIZ ENERGÉTICA'!$F12</f>
        <v>833830.94298000005</v>
      </c>
      <c r="F64" s="33" t="e">
        <f t="shared" si="22"/>
        <v>#REF!</v>
      </c>
      <c r="G64" s="46" t="e">
        <f t="shared" si="24"/>
        <v>#REF!</v>
      </c>
      <c r="H64" s="46" t="e">
        <f t="shared" si="25"/>
        <v>#REF!</v>
      </c>
      <c r="I64" s="27" t="e">
        <f t="shared" si="23"/>
        <v>#REF!</v>
      </c>
    </row>
    <row r="65" spans="2:10">
      <c r="B65" s="8">
        <v>10</v>
      </c>
      <c r="C65" s="9" t="str">
        <f>+'MATRIZ ENERGÉTICA'!A13</f>
        <v>Octubre</v>
      </c>
      <c r="D65" s="42" t="e">
        <f>+#REF!</f>
        <v>#REF!</v>
      </c>
      <c r="E65" s="46">
        <f>+'MATRIZ ENERGÉTICA'!$F13</f>
        <v>905175.05264000001</v>
      </c>
      <c r="F65" s="33" t="e">
        <f t="shared" si="22"/>
        <v>#REF!</v>
      </c>
      <c r="G65" s="46" t="e">
        <f t="shared" si="24"/>
        <v>#REF!</v>
      </c>
      <c r="H65" s="46" t="e">
        <f t="shared" si="25"/>
        <v>#REF!</v>
      </c>
      <c r="I65" s="27" t="e">
        <f t="shared" si="23"/>
        <v>#REF!</v>
      </c>
    </row>
    <row r="66" spans="2:10">
      <c r="B66" s="8">
        <v>11</v>
      </c>
      <c r="C66" s="9" t="str">
        <f>+'MATRIZ ENERGÉTICA'!A14</f>
        <v>Noviembre</v>
      </c>
      <c r="D66" s="42" t="e">
        <f>+#REF!</f>
        <v>#REF!</v>
      </c>
      <c r="E66" s="46">
        <f>+'MATRIZ ENERGÉTICA'!$F14</f>
        <v>884242.65859105007</v>
      </c>
      <c r="F66" s="33" t="e">
        <f t="shared" si="22"/>
        <v>#REF!</v>
      </c>
      <c r="G66" s="46" t="e">
        <f t="shared" si="24"/>
        <v>#REF!</v>
      </c>
      <c r="H66" s="46" t="e">
        <f t="shared" si="25"/>
        <v>#REF!</v>
      </c>
      <c r="I66" s="27" t="e">
        <f t="shared" si="23"/>
        <v>#REF!</v>
      </c>
    </row>
    <row r="67" spans="2:10">
      <c r="B67" s="8">
        <v>12</v>
      </c>
      <c r="C67" s="9" t="str">
        <f>+'MATRIZ ENERGÉTICA'!A15</f>
        <v>Diciembre</v>
      </c>
      <c r="D67" s="42" t="e">
        <f>+#REF!</f>
        <v>#REF!</v>
      </c>
      <c r="E67" s="46">
        <f>+'MATRIZ ENERGÉTICA'!$F15</f>
        <v>808052.85168092989</v>
      </c>
      <c r="F67" s="33" t="e">
        <f t="shared" si="22"/>
        <v>#REF!</v>
      </c>
      <c r="G67" s="46" t="e">
        <f t="shared" si="24"/>
        <v>#REF!</v>
      </c>
      <c r="H67" s="46" t="e">
        <f t="shared" si="25"/>
        <v>#REF!</v>
      </c>
      <c r="I67" s="27" t="e">
        <f t="shared" si="23"/>
        <v>#REF!</v>
      </c>
    </row>
    <row r="69" spans="2:10">
      <c r="C69" s="12" t="s">
        <v>11</v>
      </c>
      <c r="D69" s="13" t="e">
        <f>IF(SUM(D56:D67)=0,0,MAX(D56:D67))</f>
        <v>#REF!</v>
      </c>
      <c r="E69" s="43">
        <f>IF(SUM(E56:E67)=0,0,MAX(E56:E67))</f>
        <v>905175.05264000001</v>
      </c>
      <c r="F69" s="44"/>
      <c r="G69" s="44"/>
    </row>
    <row r="70" spans="2:10">
      <c r="C70" s="12" t="s">
        <v>12</v>
      </c>
      <c r="D70" s="13" t="e">
        <f>IF(SUM(D56:D67)=0,0,MIN(D56:D67))</f>
        <v>#REF!</v>
      </c>
      <c r="E70" s="43">
        <f>IF(SUM(E56:E67)=0,0,MIN(E56:E67))</f>
        <v>490301.43850032502</v>
      </c>
      <c r="F70" s="44"/>
      <c r="G70" s="44"/>
    </row>
    <row r="71" spans="2:10">
      <c r="C71" s="12" t="s">
        <v>9</v>
      </c>
      <c r="D71" s="13" t="e">
        <f>IF(SUM(D56:D67)=0,0,AVERAGE(D56:D67))</f>
        <v>#REF!</v>
      </c>
      <c r="E71" s="43">
        <f>IF(SUM(E56:E67)=0,0,AVERAGE(E56:E67))</f>
        <v>762639.24536355503</v>
      </c>
      <c r="F71" s="44"/>
      <c r="G71" s="44"/>
    </row>
    <row r="72" spans="2:10">
      <c r="C72" s="12" t="s">
        <v>10</v>
      </c>
      <c r="D72" s="13" t="e">
        <f>IF(SUM(D56:D67)=0,0,STDEV(D56:D67))</f>
        <v>#REF!</v>
      </c>
      <c r="E72" s="43">
        <f>IF(SUM(E56:E67)=0,0,STDEV(E56:E67))</f>
        <v>119078.68552528338</v>
      </c>
      <c r="F72" s="44"/>
      <c r="G72" s="44"/>
    </row>
    <row r="73" spans="2:10">
      <c r="C73" s="7"/>
      <c r="D73" s="7"/>
      <c r="E73" s="7"/>
      <c r="F73" s="10"/>
      <c r="G73" s="10"/>
    </row>
    <row r="74" spans="2:10">
      <c r="C74" s="15" t="s">
        <v>13</v>
      </c>
      <c r="D74" s="7"/>
      <c r="E74" s="7"/>
      <c r="F74" s="10"/>
      <c r="G74" s="15" t="s">
        <v>57</v>
      </c>
    </row>
    <row r="75" spans="2:10">
      <c r="C75" s="7"/>
      <c r="D75" s="7"/>
      <c r="E75" s="7"/>
      <c r="F75" s="10"/>
    </row>
    <row r="76" spans="2:10">
      <c r="C76" s="352" t="s">
        <v>14</v>
      </c>
      <c r="D76" s="352"/>
      <c r="E76" s="16" t="e">
        <f>+LINEST(E56:E67,D56:D67)</f>
        <v>#VALUE!</v>
      </c>
      <c r="F76" s="14"/>
      <c r="G76" s="23" t="s">
        <v>14</v>
      </c>
      <c r="H76" s="23"/>
      <c r="I76" s="18" t="e">
        <f>+SLOPE(H56:H67,G56:G67)</f>
        <v>#REF!</v>
      </c>
      <c r="J76" s="18"/>
    </row>
    <row r="77" spans="2:10">
      <c r="C77" s="352" t="s">
        <v>15</v>
      </c>
      <c r="D77" s="352"/>
      <c r="E77" s="17" t="e">
        <f>+INTERCEPT(E56:E67,D56:D67)</f>
        <v>#REF!</v>
      </c>
      <c r="F77" s="14"/>
      <c r="G77" s="352" t="s">
        <v>15</v>
      </c>
      <c r="H77" s="352"/>
      <c r="I77" s="19" t="e">
        <f>+INTERCEPT(H56:H67,G56:G67)</f>
        <v>#REF!</v>
      </c>
      <c r="J77" s="19"/>
    </row>
    <row r="78" spans="2:10">
      <c r="C78" s="352" t="s">
        <v>16</v>
      </c>
      <c r="D78" s="352"/>
      <c r="E78" s="16" t="e">
        <f>+RSQ(E56:E67,D56:D67)</f>
        <v>#REF!</v>
      </c>
      <c r="F78" s="14"/>
      <c r="G78" s="352" t="s">
        <v>16</v>
      </c>
      <c r="H78" s="352"/>
      <c r="I78" s="18" t="e">
        <f>+RSQ(H56:H67,G56:G67)</f>
        <v>#REF!</v>
      </c>
      <c r="J78" s="18"/>
    </row>
    <row r="80" spans="2:10" ht="21">
      <c r="C80" s="45" t="s">
        <v>58</v>
      </c>
    </row>
    <row r="81" spans="2:5">
      <c r="B81" s="354" t="s">
        <v>61</v>
      </c>
      <c r="C81" s="354"/>
      <c r="D81" s="354"/>
      <c r="E81" s="354"/>
    </row>
    <row r="82" spans="2:5">
      <c r="B82" s="349" t="s">
        <v>5</v>
      </c>
      <c r="C82" s="349"/>
      <c r="D82" s="349" t="s">
        <v>54</v>
      </c>
      <c r="E82" s="349" t="s">
        <v>55</v>
      </c>
    </row>
    <row r="83" spans="2:5">
      <c r="B83" s="349"/>
      <c r="C83" s="349"/>
      <c r="D83" s="349"/>
      <c r="E83" s="349"/>
    </row>
    <row r="84" spans="2:5">
      <c r="B84" s="349"/>
      <c r="C84" s="349"/>
      <c r="D84" s="24" t="s">
        <v>25</v>
      </c>
      <c r="E84" s="24" t="s">
        <v>26</v>
      </c>
    </row>
    <row r="85" spans="2:5">
      <c r="B85" s="8">
        <v>1</v>
      </c>
      <c r="C85" s="9" t="str">
        <f t="shared" ref="C85:C96" si="26">+C56</f>
        <v>Enero</v>
      </c>
      <c r="D85" s="42"/>
      <c r="E85" s="46"/>
    </row>
    <row r="86" spans="2:5">
      <c r="B86" s="8">
        <v>2</v>
      </c>
      <c r="C86" s="9" t="str">
        <f t="shared" si="26"/>
        <v>Febrero</v>
      </c>
      <c r="D86" s="42" t="e">
        <f t="shared" ref="D86:D96" si="27">+D8</f>
        <v>#REF!</v>
      </c>
      <c r="E86" s="46">
        <f>+'MATRIZ ENERGÉTICA'!F5</f>
        <v>769749.51093369001</v>
      </c>
    </row>
    <row r="87" spans="2:5">
      <c r="B87" s="8">
        <v>3</v>
      </c>
      <c r="C87" s="9" t="str">
        <f t="shared" si="26"/>
        <v>Marzo</v>
      </c>
      <c r="D87" s="42" t="e">
        <f t="shared" si="27"/>
        <v>#REF!</v>
      </c>
      <c r="E87" s="46">
        <f>+'MATRIZ ENERGÉTICA'!F6</f>
        <v>846148.00049318001</v>
      </c>
    </row>
    <row r="88" spans="2:5">
      <c r="B88" s="8">
        <v>4</v>
      </c>
      <c r="C88" s="9" t="str">
        <f t="shared" si="26"/>
        <v>Abril</v>
      </c>
      <c r="D88" s="42" t="e">
        <f t="shared" si="27"/>
        <v>#REF!</v>
      </c>
      <c r="E88" s="46">
        <f>+'MATRIZ ENERGÉTICA'!F7</f>
        <v>614211.42189651995</v>
      </c>
    </row>
    <row r="89" spans="2:5">
      <c r="B89" s="8">
        <v>5</v>
      </c>
      <c r="C89" s="9" t="str">
        <f t="shared" si="26"/>
        <v>Mayo</v>
      </c>
      <c r="D89" s="42" t="e">
        <f t="shared" si="27"/>
        <v>#REF!</v>
      </c>
      <c r="E89" s="46">
        <f>+'MATRIZ ENERGÉTICA'!F8</f>
        <v>686970.86957999994</v>
      </c>
    </row>
    <row r="90" spans="2:5">
      <c r="B90" s="8">
        <v>6</v>
      </c>
      <c r="C90" s="9" t="str">
        <f t="shared" si="26"/>
        <v>Junio</v>
      </c>
      <c r="D90" s="42" t="e">
        <f t="shared" si="27"/>
        <v>#REF!</v>
      </c>
      <c r="E90" s="46">
        <f>+'MATRIZ ENERGÉTICA'!F9</f>
        <v>490301.43850032502</v>
      </c>
    </row>
    <row r="91" spans="2:5">
      <c r="B91" s="8">
        <v>7</v>
      </c>
      <c r="C91" s="9" t="str">
        <f t="shared" si="26"/>
        <v>Julio</v>
      </c>
      <c r="D91" s="42" t="e">
        <f t="shared" si="27"/>
        <v>#REF!</v>
      </c>
      <c r="E91" s="46">
        <f>+'MATRIZ ENERGÉTICA'!F10</f>
        <v>744290.95346208999</v>
      </c>
    </row>
    <row r="92" spans="2:5">
      <c r="B92" s="8">
        <v>8</v>
      </c>
      <c r="C92" s="9" t="str">
        <f t="shared" si="26"/>
        <v>Agosto</v>
      </c>
      <c r="D92" s="42" t="e">
        <f t="shared" si="27"/>
        <v>#REF!</v>
      </c>
      <c r="E92" s="46">
        <f>+'MATRIZ ENERGÉTICA'!F11</f>
        <v>826269.03480000002</v>
      </c>
    </row>
    <row r="93" spans="2:5">
      <c r="B93" s="8">
        <v>9</v>
      </c>
      <c r="C93" s="9" t="str">
        <f t="shared" si="26"/>
        <v>Septiembre</v>
      </c>
      <c r="D93" s="42" t="e">
        <f t="shared" si="27"/>
        <v>#REF!</v>
      </c>
      <c r="E93" s="46">
        <f>+'MATRIZ ENERGÉTICA'!F12</f>
        <v>833830.94298000005</v>
      </c>
    </row>
    <row r="94" spans="2:5">
      <c r="B94" s="8">
        <v>10</v>
      </c>
      <c r="C94" s="9" t="str">
        <f t="shared" si="26"/>
        <v>Octubre</v>
      </c>
      <c r="D94" s="42" t="e">
        <f t="shared" si="27"/>
        <v>#REF!</v>
      </c>
      <c r="E94" s="46">
        <f>+'MATRIZ ENERGÉTICA'!F13</f>
        <v>905175.05264000001</v>
      </c>
    </row>
    <row r="95" spans="2:5">
      <c r="B95" s="8">
        <v>11</v>
      </c>
      <c r="C95" s="9" t="str">
        <f t="shared" si="26"/>
        <v>Noviembre</v>
      </c>
      <c r="D95" s="42"/>
      <c r="E95" s="46"/>
    </row>
    <row r="96" spans="2:5">
      <c r="B96" s="8">
        <v>12</v>
      </c>
      <c r="C96" s="9" t="str">
        <f t="shared" si="26"/>
        <v>Diciembre</v>
      </c>
      <c r="D96" s="42" t="e">
        <f t="shared" si="27"/>
        <v>#REF!</v>
      </c>
      <c r="E96" s="46">
        <f>+'MATRIZ ENERGÉTICA'!F15</f>
        <v>808052.85168092989</v>
      </c>
    </row>
    <row r="98" spans="3:5">
      <c r="C98" s="12" t="s">
        <v>11</v>
      </c>
      <c r="D98" s="13" t="e">
        <f>IF(SUM(D85:D96)=0,0,MAX(D85:D96))</f>
        <v>#REF!</v>
      </c>
      <c r="E98" s="13">
        <f>IF(SUM(E85:E96)=0,0,MAX(E85:E96))</f>
        <v>905175.05264000001</v>
      </c>
    </row>
    <row r="99" spans="3:5">
      <c r="C99" s="12" t="s">
        <v>12</v>
      </c>
      <c r="D99" s="13" t="e">
        <f>IF(SUM(D85:D96)=0,0,MIN(D85:D96))</f>
        <v>#REF!</v>
      </c>
      <c r="E99" s="13">
        <f>IF(SUM(E85:E96)=0,0,MIN(E85:E96))</f>
        <v>490301.43850032502</v>
      </c>
    </row>
    <row r="100" spans="3:5">
      <c r="C100" s="12" t="s">
        <v>9</v>
      </c>
      <c r="D100" s="13" t="e">
        <f>IF(SUM(D85:D96)=0,0,AVERAGE(D85:D96))</f>
        <v>#REF!</v>
      </c>
      <c r="E100" s="13">
        <f>IF(SUM(E85:E96)=0,0,AVERAGE(E85:E96))</f>
        <v>752500.00769667351</v>
      </c>
    </row>
    <row r="101" spans="3:5">
      <c r="C101" s="12" t="s">
        <v>10</v>
      </c>
      <c r="D101" s="13" t="e">
        <f>IF(SUM(D85:D96)=0,0,STDEV(D85:D96))</f>
        <v>#REF!</v>
      </c>
      <c r="E101" s="13">
        <f>IF(SUM(E85:E96)=0,0,STDEV(E85:E96))</f>
        <v>124611.90833887953</v>
      </c>
    </row>
  </sheetData>
  <mergeCells count="31">
    <mergeCell ref="N31:O31"/>
    <mergeCell ref="J31:K31"/>
    <mergeCell ref="P31:Q31"/>
    <mergeCell ref="R31:S31"/>
    <mergeCell ref="B82:C84"/>
    <mergeCell ref="D82:D83"/>
    <mergeCell ref="E82:E83"/>
    <mergeCell ref="B81:E81"/>
    <mergeCell ref="I53:I54"/>
    <mergeCell ref="C76:D76"/>
    <mergeCell ref="C77:D77"/>
    <mergeCell ref="G77:H77"/>
    <mergeCell ref="C78:D78"/>
    <mergeCell ref="G78:H78"/>
    <mergeCell ref="B53:C55"/>
    <mergeCell ref="D53:D54"/>
    <mergeCell ref="E53:E54"/>
    <mergeCell ref="F53:F54"/>
    <mergeCell ref="G53:G54"/>
    <mergeCell ref="H53:H54"/>
    <mergeCell ref="C48:D48"/>
    <mergeCell ref="C49:D49"/>
    <mergeCell ref="B4:C6"/>
    <mergeCell ref="L31:M31"/>
    <mergeCell ref="C50:D50"/>
    <mergeCell ref="C27:D27"/>
    <mergeCell ref="C28:D28"/>
    <mergeCell ref="C29:D29"/>
    <mergeCell ref="B31:C33"/>
    <mergeCell ref="D31:D32"/>
    <mergeCell ref="E31:E32"/>
  </mergeCells>
  <hyperlinks>
    <hyperlink ref="I1" location="Inicio!A1" display="Inicio" xr:uid="{00000000-0004-0000-0600-000000000000}"/>
  </hyperlinks>
  <pageMargins left="0.7" right="0.7" top="0.75" bottom="0.75" header="0.3" footer="0.3"/>
  <pageSetup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Z53"/>
  <sheetViews>
    <sheetView zoomScale="70" zoomScaleNormal="70" workbookViewId="0">
      <selection activeCell="M3" sqref="M3"/>
    </sheetView>
  </sheetViews>
  <sheetFormatPr defaultColWidth="11.42578125" defaultRowHeight="15"/>
  <cols>
    <col min="1" max="1" width="22" style="121" customWidth="1"/>
    <col min="2" max="2" width="13.140625" style="121" customWidth="1"/>
    <col min="3" max="3" width="20.140625" style="121" customWidth="1"/>
    <col min="4" max="4" width="19.42578125" style="121" hidden="1" customWidth="1"/>
    <col min="5" max="5" width="15.5703125" style="121" hidden="1" customWidth="1"/>
    <col min="6" max="6" width="18" style="121" hidden="1" customWidth="1"/>
    <col min="7" max="7" width="15" style="121" customWidth="1"/>
    <col min="8" max="8" width="14.28515625" style="121" customWidth="1"/>
    <col min="9" max="9" width="0" style="121" hidden="1" customWidth="1"/>
    <col min="10" max="10" width="15.140625" style="121" hidden="1" customWidth="1"/>
    <col min="11" max="11" width="13" style="121" customWidth="1"/>
    <col min="12" max="13" width="11.42578125" style="114"/>
    <col min="14" max="19" width="11.42578125" style="121"/>
    <col min="20" max="20" width="11.42578125" style="114"/>
    <col min="21" max="21" width="14.28515625" style="121" customWidth="1"/>
    <col min="22" max="22" width="14.5703125" style="121" customWidth="1"/>
    <col min="23" max="24" width="11.42578125" style="121"/>
    <col min="25" max="25" width="15" style="121" customWidth="1"/>
    <col min="26" max="16384" width="11.42578125" style="121"/>
  </cols>
  <sheetData>
    <row r="2" spans="1:26" ht="45">
      <c r="A2" s="355" t="s">
        <v>83</v>
      </c>
      <c r="B2" s="356"/>
      <c r="C2" s="183" t="s">
        <v>107</v>
      </c>
      <c r="D2" s="213" t="s">
        <v>117</v>
      </c>
      <c r="E2" s="214" t="s">
        <v>118</v>
      </c>
      <c r="F2" s="357" t="s">
        <v>119</v>
      </c>
      <c r="G2" s="358" t="s">
        <v>120</v>
      </c>
      <c r="H2" s="359"/>
      <c r="I2" s="360" t="s">
        <v>121</v>
      </c>
      <c r="J2" s="361"/>
    </row>
    <row r="3" spans="1:26">
      <c r="A3" s="183" t="s">
        <v>5</v>
      </c>
      <c r="B3" s="183" t="str">
        <f>+'CONSUMOS Y PRODUCCIÓN'!F3</f>
        <v>kWh</v>
      </c>
      <c r="C3" s="183" t="str">
        <f>+'CONSUMOS Y PRODUCCIÓN'!C130</f>
        <v>Ton</v>
      </c>
      <c r="D3" s="215" t="str">
        <f>+B3</f>
        <v>kWh</v>
      </c>
      <c r="E3" s="215" t="str">
        <f>+B3</f>
        <v>kWh</v>
      </c>
      <c r="F3" s="357"/>
      <c r="G3" s="183" t="str">
        <f>+B3</f>
        <v>kWh</v>
      </c>
      <c r="H3" s="183" t="str">
        <f>+C3</f>
        <v>Ton</v>
      </c>
      <c r="I3" s="183" t="str">
        <f>+B3</f>
        <v>kWh</v>
      </c>
      <c r="J3" s="182" t="str">
        <f>+C3</f>
        <v>Ton</v>
      </c>
      <c r="U3" s="343" t="s">
        <v>158</v>
      </c>
      <c r="V3" s="343"/>
      <c r="W3" s="343"/>
      <c r="X3" s="343"/>
      <c r="Y3" s="220"/>
      <c r="Z3" s="221" t="s">
        <v>26</v>
      </c>
    </row>
    <row r="4" spans="1:26">
      <c r="A4" s="123" t="str">
        <f>'CONSUMOS Y PRODUCCIÓN'!B4</f>
        <v>Enero</v>
      </c>
      <c r="B4" s="124">
        <f>'CONSUMOS Y PRODUCCIÓN'!F4</f>
        <v>644837.44999999995</v>
      </c>
      <c r="C4" s="125">
        <f>+'CONSUMOS Y PRODUCCIÓN'!C131</f>
        <v>1459</v>
      </c>
      <c r="D4" s="206">
        <f>+C4*$F$37+$F$38</f>
        <v>677192.59728385508</v>
      </c>
      <c r="E4" s="207">
        <f>B4-D4</f>
        <v>-32355.147283855127</v>
      </c>
      <c r="F4" s="207">
        <f>+E4/$E$33</f>
        <v>-1.3580822217578696</v>
      </c>
      <c r="G4" s="223">
        <f>B4</f>
        <v>644837.44999999995</v>
      </c>
      <c r="H4" s="224">
        <f>C4</f>
        <v>1459</v>
      </c>
      <c r="I4" s="126"/>
      <c r="J4" s="126"/>
      <c r="U4" s="343" t="s">
        <v>159</v>
      </c>
      <c r="V4" s="343"/>
      <c r="W4" s="343"/>
      <c r="X4" s="343"/>
      <c r="Y4" s="222">
        <f>+B32</f>
        <v>650225.1</v>
      </c>
      <c r="Z4" s="221" t="str">
        <f>+B3</f>
        <v>kWh</v>
      </c>
    </row>
    <row r="5" spans="1:26">
      <c r="A5" s="123" t="str">
        <f>'CONSUMOS Y PRODUCCIÓN'!B5</f>
        <v>Febrero</v>
      </c>
      <c r="B5" s="124">
        <f>'CONSUMOS Y PRODUCCIÓN'!F5</f>
        <v>673039.01</v>
      </c>
      <c r="C5" s="125">
        <f>+'CONSUMOS Y PRODUCCIÓN'!C132</f>
        <v>1499</v>
      </c>
      <c r="D5" s="206">
        <f t="shared" ref="D5:D15" si="0">+C5*$F$37+$F$38</f>
        <v>693252.64529409143</v>
      </c>
      <c r="E5" s="207">
        <f>B5-D5</f>
        <v>-20213.635294091422</v>
      </c>
      <c r="F5" s="207">
        <f t="shared" ref="F5:F15" si="1">+E5/$E$33</f>
        <v>-0.84845166950301953</v>
      </c>
      <c r="G5" s="223">
        <f t="shared" ref="G5:H15" si="2">B5</f>
        <v>673039.01</v>
      </c>
      <c r="H5" s="224">
        <f t="shared" si="2"/>
        <v>1499</v>
      </c>
      <c r="I5" s="126"/>
      <c r="J5" s="126"/>
      <c r="U5" s="336" t="s">
        <v>122</v>
      </c>
      <c r="V5" s="336"/>
      <c r="W5" s="336"/>
      <c r="X5" s="336"/>
      <c r="Y5" s="178">
        <f>+Y3/Y4</f>
        <v>0</v>
      </c>
      <c r="Z5" s="221"/>
    </row>
    <row r="6" spans="1:26">
      <c r="A6" s="123" t="str">
        <f>'CONSUMOS Y PRODUCCIÓN'!B6</f>
        <v>Marzo</v>
      </c>
      <c r="B6" s="124">
        <f>'CONSUMOS Y PRODUCCIÓN'!F6</f>
        <v>742199.91999999993</v>
      </c>
      <c r="C6" s="125">
        <f>+'CONSUMOS Y PRODUCCIÓN'!C133</f>
        <v>1547</v>
      </c>
      <c r="D6" s="206">
        <f t="shared" si="0"/>
        <v>712524.70290637505</v>
      </c>
      <c r="E6" s="207">
        <f t="shared" ref="E6:E15" si="3">B6-D6</f>
        <v>29675.217093624873</v>
      </c>
      <c r="F6" s="207">
        <f t="shared" si="1"/>
        <v>1.2455942298172489</v>
      </c>
      <c r="G6" s="223">
        <f t="shared" si="2"/>
        <v>742199.91999999993</v>
      </c>
      <c r="H6" s="224">
        <f t="shared" si="2"/>
        <v>1547</v>
      </c>
      <c r="I6" s="126">
        <f t="shared" ref="I6" si="4">+G6</f>
        <v>742199.91999999993</v>
      </c>
      <c r="J6" s="126">
        <f t="shared" ref="J6" si="5">+H6</f>
        <v>1547</v>
      </c>
    </row>
    <row r="7" spans="1:26">
      <c r="A7" s="123" t="str">
        <f>'CONSUMOS Y PRODUCCIÓN'!B7</f>
        <v>Abril</v>
      </c>
      <c r="B7" s="124">
        <f>'CONSUMOS Y PRODUCCIÓN'!F7</f>
        <v>510346.82999999996</v>
      </c>
      <c r="C7" s="125">
        <f>+'CONSUMOS Y PRODUCCIÓN'!C134</f>
        <v>990</v>
      </c>
      <c r="D7" s="206">
        <f t="shared" si="0"/>
        <v>488888.53436383419</v>
      </c>
      <c r="E7" s="207">
        <f t="shared" si="3"/>
        <v>21458.295636165771</v>
      </c>
      <c r="F7" s="207">
        <f t="shared" si="1"/>
        <v>0.90069532235579786</v>
      </c>
      <c r="G7" s="223">
        <f t="shared" si="2"/>
        <v>510346.82999999996</v>
      </c>
      <c r="H7" s="224">
        <f t="shared" si="2"/>
        <v>990</v>
      </c>
      <c r="I7" s="126"/>
      <c r="J7" s="126"/>
    </row>
    <row r="8" spans="1:26">
      <c r="A8" s="123" t="str">
        <f>'CONSUMOS Y PRODUCCIÓN'!B8</f>
        <v>Mayo</v>
      </c>
      <c r="B8" s="124">
        <f>'CONSUMOS Y PRODUCCIÓN'!F8</f>
        <v>589417.18999999994</v>
      </c>
      <c r="C8" s="125">
        <f>+'CONSUMOS Y PRODUCCIÓN'!C135</f>
        <v>1220</v>
      </c>
      <c r="D8" s="206">
        <f t="shared" si="0"/>
        <v>581233.81042269315</v>
      </c>
      <c r="E8" s="207">
        <f t="shared" si="3"/>
        <v>8183.3795773067977</v>
      </c>
      <c r="F8" s="207">
        <f t="shared" si="1"/>
        <v>0.34349101304763374</v>
      </c>
      <c r="G8" s="223">
        <f t="shared" si="2"/>
        <v>589417.18999999994</v>
      </c>
      <c r="H8" s="224">
        <f t="shared" si="2"/>
        <v>1220</v>
      </c>
      <c r="I8" s="126">
        <f t="shared" ref="I8:I10" si="6">+G8</f>
        <v>589417.18999999994</v>
      </c>
      <c r="J8" s="126">
        <f t="shared" ref="J8:J10" si="7">+H8</f>
        <v>1220</v>
      </c>
    </row>
    <row r="9" spans="1:26">
      <c r="A9" s="123" t="str">
        <f>'CONSUMOS Y PRODUCCIÓN'!B9</f>
        <v>Junio</v>
      </c>
      <c r="B9" s="124">
        <f>'CONSUMOS Y PRODUCCIÓN'!F9</f>
        <v>416692.83999999997</v>
      </c>
      <c r="C9" s="125">
        <f>+'CONSUMOS Y PRODUCCIÓN'!C136</f>
        <v>855</v>
      </c>
      <c r="D9" s="206">
        <f t="shared" si="0"/>
        <v>434685.87232928659</v>
      </c>
      <c r="E9" s="207">
        <f t="shared" si="3"/>
        <v>-17993.032329286623</v>
      </c>
      <c r="F9" s="207">
        <f t="shared" si="1"/>
        <v>-0.75524358172562134</v>
      </c>
      <c r="G9" s="223">
        <f t="shared" si="2"/>
        <v>416692.83999999997</v>
      </c>
      <c r="H9" s="224">
        <f t="shared" si="2"/>
        <v>855</v>
      </c>
      <c r="I9" s="126">
        <f t="shared" si="6"/>
        <v>416692.83999999997</v>
      </c>
      <c r="J9" s="126">
        <f t="shared" si="7"/>
        <v>855</v>
      </c>
    </row>
    <row r="10" spans="1:26" ht="15" customHeight="1">
      <c r="A10" s="123" t="str">
        <f>'CONSUMOS Y PRODUCCIÓN'!B10</f>
        <v>Julio</v>
      </c>
      <c r="B10" s="124">
        <f>'CONSUMOS Y PRODUCCIÓN'!F10</f>
        <v>659096.22</v>
      </c>
      <c r="C10" s="125">
        <f>+'CONSUMOS Y PRODUCCIÓN'!C137</f>
        <v>1412</v>
      </c>
      <c r="D10" s="206">
        <f t="shared" si="0"/>
        <v>658322.0408718274</v>
      </c>
      <c r="E10" s="207">
        <f t="shared" si="3"/>
        <v>774.17912817257456</v>
      </c>
      <c r="F10" s="207">
        <f t="shared" si="1"/>
        <v>3.2495568671134359E-2</v>
      </c>
      <c r="G10" s="223">
        <f t="shared" si="2"/>
        <v>659096.22</v>
      </c>
      <c r="H10" s="224">
        <f t="shared" si="2"/>
        <v>1412</v>
      </c>
      <c r="I10" s="126">
        <f t="shared" si="6"/>
        <v>659096.22</v>
      </c>
      <c r="J10" s="126">
        <f t="shared" si="7"/>
        <v>1412</v>
      </c>
    </row>
    <row r="11" spans="1:26">
      <c r="A11" s="123" t="str">
        <f>'CONSUMOS Y PRODUCCIÓN'!B11</f>
        <v>Agosto</v>
      </c>
      <c r="B11" s="124">
        <f>'CONSUMOS Y PRODUCCIÓN'!F11</f>
        <v>652987.49</v>
      </c>
      <c r="C11" s="125">
        <f>+'CONSUMOS Y PRODUCCIÓN'!C138</f>
        <v>1491</v>
      </c>
      <c r="D11" s="206">
        <f t="shared" si="0"/>
        <v>690040.63569204416</v>
      </c>
      <c r="E11" s="207">
        <f t="shared" si="3"/>
        <v>-37053.145692044171</v>
      </c>
      <c r="F11" s="207">
        <f t="shared" si="1"/>
        <v>-1.5552770625055734</v>
      </c>
      <c r="G11" s="223">
        <f t="shared" si="2"/>
        <v>652987.49</v>
      </c>
      <c r="H11" s="224">
        <f t="shared" si="2"/>
        <v>1491</v>
      </c>
      <c r="I11" s="126"/>
      <c r="J11" s="126"/>
    </row>
    <row r="12" spans="1:26">
      <c r="A12" s="123" t="str">
        <f>'CONSUMOS Y PRODUCCIÓN'!B12</f>
        <v>Septiembre</v>
      </c>
      <c r="B12" s="124">
        <f>'CONSUMOS Y PRODUCCIÓN'!F12</f>
        <v>692326.39</v>
      </c>
      <c r="C12" s="125">
        <f>+'CONSUMOS Y PRODUCCIÓN'!C139</f>
        <v>1443</v>
      </c>
      <c r="D12" s="206">
        <f t="shared" si="0"/>
        <v>670768.57807976054</v>
      </c>
      <c r="E12" s="207">
        <f t="shared" si="3"/>
        <v>21557.811920239474</v>
      </c>
      <c r="F12" s="207">
        <f t="shared" si="1"/>
        <v>0.90487244122316712</v>
      </c>
      <c r="G12" s="223">
        <f t="shared" si="2"/>
        <v>692326.39</v>
      </c>
      <c r="H12" s="224">
        <f t="shared" si="2"/>
        <v>1443</v>
      </c>
      <c r="I12" s="126">
        <f t="shared" ref="I12:I13" si="8">+G12</f>
        <v>692326.39</v>
      </c>
      <c r="J12" s="126">
        <f t="shared" ref="J12:J13" si="9">+H12</f>
        <v>1443</v>
      </c>
    </row>
    <row r="13" spans="1:26" ht="15" customHeight="1">
      <c r="A13" s="123" t="str">
        <f>'CONSUMOS Y PRODUCCIÓN'!B13</f>
        <v>Octubre</v>
      </c>
      <c r="B13" s="124">
        <f>'CONSUMOS Y PRODUCCIÓN'!F13</f>
        <v>780657.88</v>
      </c>
      <c r="C13" s="125">
        <f>+'CONSUMOS Y PRODUCCIÓN'!C140</f>
        <v>1726</v>
      </c>
      <c r="D13" s="206">
        <f t="shared" si="0"/>
        <v>784393.41775218258</v>
      </c>
      <c r="E13" s="207">
        <f t="shared" si="3"/>
        <v>-3735.5377521825721</v>
      </c>
      <c r="F13" s="207">
        <f t="shared" si="1"/>
        <v>-0.15679630092353072</v>
      </c>
      <c r="G13" s="223">
        <f t="shared" si="2"/>
        <v>780657.88</v>
      </c>
      <c r="H13" s="224">
        <f t="shared" si="2"/>
        <v>1726</v>
      </c>
      <c r="I13" s="126">
        <f t="shared" si="8"/>
        <v>780657.88</v>
      </c>
      <c r="J13" s="126">
        <f t="shared" si="9"/>
        <v>1726</v>
      </c>
    </row>
    <row r="14" spans="1:26" ht="15" customHeight="1">
      <c r="A14" s="123" t="str">
        <f>'CONSUMOS Y PRODUCCIÓN'!B14</f>
        <v>Noviembre</v>
      </c>
      <c r="B14" s="124">
        <f>'CONSUMOS Y PRODUCCIÓN'!F14</f>
        <v>738073.57000000007</v>
      </c>
      <c r="C14" s="125">
        <f>+'CONSUMOS Y PRODUCCIÓN'!C141</f>
        <v>1525</v>
      </c>
      <c r="D14" s="206">
        <f t="shared" si="0"/>
        <v>703691.67650074512</v>
      </c>
      <c r="E14" s="207">
        <f t="shared" si="3"/>
        <v>34381.893499254948</v>
      </c>
      <c r="F14" s="207">
        <f t="shared" si="1"/>
        <v>1.4431533227793447</v>
      </c>
      <c r="G14" s="223">
        <f t="shared" si="2"/>
        <v>738073.57000000007</v>
      </c>
      <c r="H14" s="224">
        <f t="shared" si="2"/>
        <v>1525</v>
      </c>
      <c r="I14" s="126"/>
      <c r="J14" s="126"/>
    </row>
    <row r="15" spans="1:26">
      <c r="A15" s="123" t="str">
        <f>'CONSUMOS Y PRODUCCIÓN'!B15</f>
        <v>Diciembre</v>
      </c>
      <c r="B15" s="124">
        <f>'CONSUMOS Y PRODUCCIÓN'!F15</f>
        <v>703026.40999999992</v>
      </c>
      <c r="C15" s="125">
        <f>+'CONSUMOS Y PRODUCCIÓN'!C142</f>
        <v>1535</v>
      </c>
      <c r="D15" s="206">
        <f t="shared" si="0"/>
        <v>707706.68850330415</v>
      </c>
      <c r="E15" s="207">
        <f t="shared" si="3"/>
        <v>-4680.278503304231</v>
      </c>
      <c r="F15" s="207">
        <f t="shared" si="1"/>
        <v>-0.1964510614786997</v>
      </c>
      <c r="G15" s="223">
        <f t="shared" si="2"/>
        <v>703026.40999999992</v>
      </c>
      <c r="H15" s="224">
        <f t="shared" si="2"/>
        <v>1535</v>
      </c>
      <c r="I15" s="126"/>
      <c r="J15" s="126"/>
    </row>
    <row r="16" spans="1:26">
      <c r="A16" s="194"/>
      <c r="B16" s="187"/>
      <c r="C16" s="195"/>
      <c r="D16" s="206"/>
      <c r="E16" s="207"/>
      <c r="F16" s="207"/>
      <c r="G16" s="196"/>
      <c r="H16" s="195"/>
      <c r="I16" s="196"/>
      <c r="J16" s="196"/>
    </row>
    <row r="17" spans="1:26">
      <c r="A17" s="194"/>
      <c r="B17" s="187"/>
      <c r="C17" s="195"/>
      <c r="D17" s="206"/>
      <c r="E17" s="207"/>
      <c r="F17" s="207"/>
      <c r="G17" s="196"/>
      <c r="H17" s="195"/>
      <c r="I17" s="196"/>
      <c r="J17" s="196"/>
    </row>
    <row r="18" spans="1:26">
      <c r="A18" s="194"/>
      <c r="B18" s="187"/>
      <c r="C18" s="195"/>
      <c r="D18" s="206"/>
      <c r="E18" s="207"/>
      <c r="F18" s="207"/>
      <c r="G18" s="196"/>
      <c r="H18" s="195"/>
      <c r="I18" s="196"/>
      <c r="J18" s="196"/>
    </row>
    <row r="19" spans="1:26">
      <c r="A19" s="194"/>
      <c r="B19" s="187"/>
      <c r="C19" s="195"/>
      <c r="D19" s="206"/>
      <c r="E19" s="207"/>
      <c r="F19" s="207"/>
      <c r="G19" s="196"/>
      <c r="H19" s="195"/>
      <c r="I19" s="196"/>
      <c r="J19" s="196"/>
    </row>
    <row r="20" spans="1:26">
      <c r="A20" s="194"/>
      <c r="B20" s="187"/>
      <c r="C20" s="195"/>
      <c r="D20" s="206"/>
      <c r="E20" s="207"/>
      <c r="F20" s="207"/>
      <c r="G20" s="196"/>
      <c r="H20" s="195"/>
      <c r="I20" s="196"/>
      <c r="J20" s="196"/>
    </row>
    <row r="21" spans="1:26">
      <c r="A21" s="194"/>
      <c r="B21" s="187"/>
      <c r="C21" s="195"/>
      <c r="D21" s="206"/>
      <c r="E21" s="207"/>
      <c r="F21" s="207"/>
      <c r="G21" s="196"/>
      <c r="H21" s="195"/>
      <c r="I21" s="196"/>
      <c r="J21" s="196"/>
    </row>
    <row r="22" spans="1:26">
      <c r="A22" s="194"/>
      <c r="B22" s="187"/>
      <c r="C22" s="195"/>
      <c r="D22" s="206"/>
      <c r="E22" s="207"/>
      <c r="F22" s="207"/>
      <c r="G22" s="196"/>
      <c r="H22" s="195"/>
      <c r="I22" s="196"/>
      <c r="J22" s="196"/>
    </row>
    <row r="23" spans="1:26">
      <c r="A23" s="194"/>
      <c r="B23" s="187"/>
      <c r="C23" s="195"/>
      <c r="D23" s="206"/>
      <c r="E23" s="207"/>
      <c r="F23" s="207"/>
      <c r="G23" s="196"/>
      <c r="H23" s="195"/>
      <c r="I23" s="196"/>
      <c r="J23" s="196"/>
    </row>
    <row r="24" spans="1:26">
      <c r="A24" s="194"/>
      <c r="B24" s="187"/>
      <c r="C24" s="195"/>
      <c r="D24" s="206"/>
      <c r="E24" s="207"/>
      <c r="F24" s="207"/>
      <c r="G24" s="196"/>
      <c r="H24" s="195"/>
      <c r="I24" s="196"/>
      <c r="J24" s="196"/>
    </row>
    <row r="25" spans="1:26">
      <c r="A25" s="194"/>
      <c r="B25" s="187"/>
      <c r="C25" s="195"/>
      <c r="D25" s="206"/>
      <c r="E25" s="207"/>
      <c r="F25" s="207"/>
      <c r="G25" s="196"/>
      <c r="H25" s="195"/>
      <c r="I25" s="196"/>
      <c r="J25" s="196"/>
    </row>
    <row r="26" spans="1:26">
      <c r="A26" s="194"/>
      <c r="B26" s="187"/>
      <c r="C26" s="195"/>
      <c r="D26" s="206"/>
      <c r="E26" s="207"/>
      <c r="F26" s="207"/>
      <c r="G26" s="196"/>
      <c r="H26" s="195"/>
      <c r="I26" s="196"/>
      <c r="J26" s="196"/>
      <c r="U26" s="343"/>
      <c r="V26" s="343"/>
      <c r="W26" s="343"/>
      <c r="X26" s="343"/>
      <c r="Y26" s="220"/>
      <c r="Z26" s="221"/>
    </row>
    <row r="27" spans="1:26">
      <c r="A27" s="194"/>
      <c r="B27" s="187"/>
      <c r="C27" s="195"/>
      <c r="D27" s="206"/>
      <c r="E27" s="207"/>
      <c r="F27" s="207"/>
      <c r="G27" s="196"/>
      <c r="H27" s="195"/>
      <c r="I27" s="196"/>
      <c r="J27" s="196"/>
      <c r="U27" s="343"/>
      <c r="V27" s="343"/>
      <c r="W27" s="343"/>
      <c r="X27" s="343"/>
      <c r="Y27" s="222"/>
      <c r="Z27" s="221"/>
    </row>
    <row r="28" spans="1:26">
      <c r="D28" s="216"/>
      <c r="E28" s="216"/>
      <c r="F28" s="216"/>
      <c r="U28" s="336"/>
      <c r="V28" s="336"/>
      <c r="W28" s="336"/>
      <c r="X28" s="336"/>
      <c r="Y28" s="178"/>
      <c r="Z28" s="221"/>
    </row>
    <row r="29" spans="1:26">
      <c r="A29" s="122"/>
      <c r="B29" s="122"/>
      <c r="C29" s="122"/>
      <c r="D29" s="216"/>
      <c r="E29" s="216"/>
      <c r="F29" s="216"/>
    </row>
    <row r="30" spans="1:26">
      <c r="A30" s="127" t="s">
        <v>11</v>
      </c>
      <c r="B30" s="128">
        <f>MAX(B4:B27)</f>
        <v>780657.88</v>
      </c>
      <c r="C30" s="128">
        <f t="shared" ref="C30:E30" si="10">MAX(C4:C27)</f>
        <v>1726</v>
      </c>
      <c r="D30" s="217">
        <f t="shared" si="10"/>
        <v>784393.41775218258</v>
      </c>
      <c r="E30" s="217">
        <f t="shared" si="10"/>
        <v>34381.893499254948</v>
      </c>
      <c r="F30" s="216"/>
    </row>
    <row r="31" spans="1:26" ht="15.75" customHeight="1">
      <c r="A31" s="127" t="s">
        <v>12</v>
      </c>
      <c r="B31" s="128">
        <f>MIN(B5:B28)</f>
        <v>416692.83999999997</v>
      </c>
      <c r="C31" s="128">
        <f t="shared" ref="C31:E31" si="11">MIN(C5:C28)</f>
        <v>855</v>
      </c>
      <c r="D31" s="217">
        <f t="shared" si="11"/>
        <v>434685.87232928659</v>
      </c>
      <c r="E31" s="217">
        <f t="shared" si="11"/>
        <v>-37053.145692044171</v>
      </c>
      <c r="F31" s="216"/>
    </row>
    <row r="32" spans="1:26" ht="19.5" customHeight="1">
      <c r="A32" s="127" t="s">
        <v>9</v>
      </c>
      <c r="B32" s="128">
        <f>AVERAGE(B4:B27)</f>
        <v>650225.1</v>
      </c>
      <c r="C32" s="128">
        <f t="shared" ref="C32:E32" si="12">AVERAGE(C4:C27)</f>
        <v>1391.8333333333333</v>
      </c>
      <c r="D32" s="217">
        <f t="shared" si="12"/>
        <v>650225.1</v>
      </c>
      <c r="E32" s="217">
        <f t="shared" si="12"/>
        <v>2.4253192047278087E-11</v>
      </c>
      <c r="F32" s="216"/>
    </row>
    <row r="33" spans="1:25" ht="15" customHeight="1">
      <c r="A33" s="127" t="s">
        <v>10</v>
      </c>
      <c r="B33" s="128">
        <f>STDEV(B4:B27)</f>
        <v>102773.62850606408</v>
      </c>
      <c r="C33" s="128">
        <f t="shared" ref="C33:E33" si="13">STDEV(C4:C27)</f>
        <v>249.00085189096112</v>
      </c>
      <c r="D33" s="217">
        <f t="shared" si="13"/>
        <v>99974.140898964775</v>
      </c>
      <c r="E33" s="217">
        <f t="shared" si="13"/>
        <v>23824.144639766644</v>
      </c>
      <c r="F33" s="216"/>
    </row>
    <row r="34" spans="1:25" ht="15" customHeight="1"/>
    <row r="36" spans="1:25" ht="21" customHeight="1">
      <c r="D36" s="208"/>
      <c r="E36" s="209"/>
      <c r="F36" s="204" t="s">
        <v>84</v>
      </c>
      <c r="X36" s="114"/>
      <c r="Y36" s="114"/>
    </row>
    <row r="37" spans="1:25" ht="15" customHeight="1">
      <c r="D37" s="210" t="s">
        <v>14</v>
      </c>
      <c r="E37" s="210"/>
      <c r="F37" s="218">
        <f>+LINEST(B4:B15,C4:C15)</f>
        <v>401.50120025590815</v>
      </c>
      <c r="X37" s="114"/>
      <c r="Y37" s="114"/>
    </row>
    <row r="38" spans="1:25" ht="15" customHeight="1">
      <c r="D38" s="210" t="s">
        <v>86</v>
      </c>
      <c r="E38" s="210"/>
      <c r="F38" s="219">
        <f>+INTERCEPT(B4:B15,C4:C15)</f>
        <v>91402.346110485145</v>
      </c>
      <c r="X38" s="114"/>
      <c r="Y38" s="114"/>
    </row>
    <row r="39" spans="1:25" ht="15" customHeight="1">
      <c r="D39" s="210" t="s">
        <v>16</v>
      </c>
      <c r="E39" s="210"/>
      <c r="F39" s="218">
        <f>+RSQ(B4:B15,C4:C15)</f>
        <v>0.94626326762254953</v>
      </c>
      <c r="H39" s="131"/>
      <c r="X39" s="114"/>
      <c r="Y39" s="114"/>
    </row>
    <row r="40" spans="1:25" ht="15" customHeight="1">
      <c r="D40" s="130"/>
      <c r="E40" s="130"/>
      <c r="F40" s="130"/>
      <c r="H40" s="131"/>
      <c r="X40" s="114"/>
      <c r="Y40" s="114"/>
    </row>
    <row r="41" spans="1:25" ht="15" customHeight="1">
      <c r="D41" s="130"/>
      <c r="X41" s="114"/>
      <c r="Y41" s="114"/>
    </row>
    <row r="42" spans="1:25" ht="15" customHeight="1">
      <c r="D42" s="130"/>
      <c r="X42" s="114"/>
      <c r="Y42" s="114"/>
    </row>
    <row r="43" spans="1:25" ht="15" customHeight="1">
      <c r="D43" s="130"/>
      <c r="X43" s="114"/>
      <c r="Y43" s="114"/>
    </row>
    <row r="44" spans="1:25" ht="15" customHeight="1">
      <c r="A44" s="129"/>
      <c r="B44" s="129"/>
      <c r="C44" s="130"/>
      <c r="D44" s="130"/>
      <c r="E44" s="130"/>
      <c r="X44" s="114"/>
      <c r="Y44" s="114"/>
    </row>
    <row r="45" spans="1:25" ht="15" customHeight="1">
      <c r="F45" s="130"/>
      <c r="X45" s="114"/>
      <c r="Y45" s="114"/>
    </row>
    <row r="46" spans="1:25" ht="15" customHeight="1">
      <c r="X46" s="114"/>
      <c r="Y46" s="114"/>
    </row>
    <row r="47" spans="1:25" ht="15" customHeight="1">
      <c r="F47" s="130"/>
      <c r="X47" s="114"/>
      <c r="Y47" s="114"/>
    </row>
    <row r="49" spans="1:5">
      <c r="A49" s="129"/>
      <c r="B49" s="129"/>
      <c r="C49" s="130"/>
      <c r="D49" s="130"/>
      <c r="E49" s="130"/>
    </row>
    <row r="50" spans="1:5">
      <c r="A50" s="129"/>
      <c r="B50" s="129"/>
      <c r="C50" s="130"/>
      <c r="D50" s="130"/>
      <c r="E50" s="130"/>
    </row>
    <row r="51" spans="1:5">
      <c r="A51" s="129"/>
      <c r="B51" s="129"/>
      <c r="C51" s="130"/>
      <c r="D51" s="130"/>
      <c r="E51" s="130"/>
    </row>
    <row r="52" spans="1:5">
      <c r="A52" s="129"/>
      <c r="B52" s="129"/>
      <c r="C52" s="130"/>
      <c r="D52" s="130"/>
      <c r="E52" s="130"/>
    </row>
    <row r="53" spans="1:5">
      <c r="A53" s="129"/>
      <c r="B53" s="129"/>
      <c r="C53" s="130"/>
      <c r="D53" s="130"/>
      <c r="E53" s="130"/>
    </row>
  </sheetData>
  <mergeCells count="10">
    <mergeCell ref="A2:B2"/>
    <mergeCell ref="F2:F3"/>
    <mergeCell ref="G2:H2"/>
    <mergeCell ref="I2:J2"/>
    <mergeCell ref="U28:X28"/>
    <mergeCell ref="U3:X3"/>
    <mergeCell ref="U4:X4"/>
    <mergeCell ref="U26:X26"/>
    <mergeCell ref="U27:X27"/>
    <mergeCell ref="U5:X5"/>
  </mergeCells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B41"/>
  <sheetViews>
    <sheetView topLeftCell="T1" zoomScale="90" zoomScaleNormal="90" workbookViewId="0">
      <selection activeCell="AE12" sqref="AE12"/>
    </sheetView>
  </sheetViews>
  <sheetFormatPr defaultColWidth="16.140625" defaultRowHeight="15"/>
  <cols>
    <col min="1" max="1" width="16.140625" style="67"/>
    <col min="2" max="2" width="19" style="67" customWidth="1"/>
    <col min="3" max="3" width="17" style="67" customWidth="1"/>
    <col min="4" max="4" width="15.5703125" style="67" customWidth="1"/>
    <col min="5" max="5" width="13" style="67" customWidth="1"/>
    <col min="6" max="6" width="15.5703125" style="67" customWidth="1"/>
    <col min="7" max="7" width="16.28515625" style="67" customWidth="1"/>
    <col min="8" max="8" width="16.140625" style="67"/>
    <col min="9" max="9" width="13.140625" style="67" customWidth="1"/>
    <col min="10" max="10" width="15.140625" style="67" customWidth="1"/>
    <col min="11" max="11" width="17" style="67" customWidth="1"/>
    <col min="12" max="12" width="15.85546875" style="67" customWidth="1"/>
    <col min="13" max="13" width="10.5703125" style="67" customWidth="1"/>
    <col min="14" max="14" width="16.28515625" style="67" customWidth="1"/>
    <col min="15" max="16" width="16.140625" style="67" customWidth="1"/>
    <col min="17" max="17" width="12.42578125" style="67" customWidth="1"/>
    <col min="18" max="19" width="16.140625" style="67" customWidth="1"/>
    <col min="20" max="16384" width="16.140625" style="67"/>
  </cols>
  <sheetData>
    <row r="1" spans="1:28" ht="15" customHeight="1">
      <c r="O1" s="370" t="s">
        <v>115</v>
      </c>
      <c r="P1" s="369" t="s">
        <v>126</v>
      </c>
      <c r="Q1" s="369"/>
      <c r="R1" s="369"/>
      <c r="S1" s="369"/>
      <c r="T1" s="369"/>
    </row>
    <row r="2" spans="1:28">
      <c r="O2" s="370"/>
      <c r="P2" s="369"/>
      <c r="Q2" s="369"/>
      <c r="R2" s="369"/>
      <c r="S2" s="369"/>
      <c r="T2" s="369"/>
    </row>
    <row r="3" spans="1:28" ht="26.25" customHeight="1">
      <c r="A3" s="364" t="s">
        <v>5</v>
      </c>
      <c r="B3" s="367" t="str">
        <f>'CONSUMOS Y PRODUCCIÓN'!B129</f>
        <v>PRODUCCIÓN</v>
      </c>
      <c r="C3" s="367" t="str">
        <f>+'CONSUMOS Y PRODUCCIÓN'!B2</f>
        <v>ENERGÍA ELÉCTRICA</v>
      </c>
      <c r="D3" s="367" t="str">
        <f>'CONSUMOS Y PRODUCCIÓN'!B36</f>
        <v xml:space="preserve">GAS NATURAL </v>
      </c>
      <c r="E3" s="364" t="s">
        <v>27</v>
      </c>
      <c r="F3" s="364" t="s">
        <v>193</v>
      </c>
      <c r="G3" s="360" t="s">
        <v>166</v>
      </c>
      <c r="H3" s="361"/>
      <c r="I3" s="361"/>
      <c r="J3" s="368"/>
      <c r="K3" s="364" t="str">
        <f>+'CONSUMOS Y PRODUCCIÓN'!B2</f>
        <v>ENERGÍA ELÉCTRICA</v>
      </c>
      <c r="L3" s="367" t="str">
        <f>'CONSUMOS Y PRODUCCIÓN'!B36</f>
        <v xml:space="preserve">GAS NATURAL </v>
      </c>
      <c r="M3" s="364" t="s">
        <v>27</v>
      </c>
      <c r="N3" s="364" t="s">
        <v>193</v>
      </c>
      <c r="O3" s="225" t="s">
        <v>125</v>
      </c>
      <c r="P3" s="225"/>
      <c r="Q3" s="225"/>
      <c r="R3" s="225"/>
      <c r="S3" s="225"/>
      <c r="T3" s="225"/>
      <c r="U3" s="362" t="s">
        <v>157</v>
      </c>
      <c r="V3" s="363"/>
      <c r="W3" s="363"/>
      <c r="X3" s="363"/>
      <c r="Y3" s="363"/>
      <c r="Z3" s="363"/>
      <c r="AA3" s="363"/>
      <c r="AB3" s="363"/>
    </row>
    <row r="4" spans="1:28" ht="39.75" customHeight="1">
      <c r="A4" s="365"/>
      <c r="B4" s="367"/>
      <c r="C4" s="367"/>
      <c r="D4" s="367"/>
      <c r="E4" s="366"/>
      <c r="F4" s="366"/>
      <c r="G4" s="133" t="str">
        <f>+C3</f>
        <v>ENERGÍA ELÉCTRICA</v>
      </c>
      <c r="H4" s="133" t="str">
        <f>+D3</f>
        <v xml:space="preserve">GAS NATURAL </v>
      </c>
      <c r="I4" s="281" t="s">
        <v>27</v>
      </c>
      <c r="J4" s="281" t="s">
        <v>193</v>
      </c>
      <c r="K4" s="366"/>
      <c r="L4" s="367"/>
      <c r="M4" s="366"/>
      <c r="N4" s="366"/>
      <c r="O4" s="259" t="str">
        <f>+G4</f>
        <v>ENERGÍA ELÉCTRICA</v>
      </c>
      <c r="P4" s="259" t="s">
        <v>160</v>
      </c>
      <c r="Q4" s="259" t="s">
        <v>27</v>
      </c>
      <c r="R4" s="259" t="s">
        <v>193</v>
      </c>
      <c r="S4" s="133" t="s">
        <v>123</v>
      </c>
      <c r="T4" s="133" t="s">
        <v>124</v>
      </c>
      <c r="U4" s="226"/>
      <c r="V4" s="226"/>
      <c r="W4" s="226"/>
      <c r="X4" s="226"/>
      <c r="Y4" s="226"/>
      <c r="Z4" s="226"/>
      <c r="AA4" s="226"/>
      <c r="AB4" s="226"/>
    </row>
    <row r="5" spans="1:28" ht="31.5" customHeight="1">
      <c r="A5" s="366"/>
      <c r="B5" s="133" t="str">
        <f>+'CONSUMOS Y PRODUCCIÓN'!C130</f>
        <v>Ton</v>
      </c>
      <c r="C5" s="133" t="str">
        <f>+'CONSUMOS Y PRODUCCIÓN'!F3</f>
        <v>kWh</v>
      </c>
      <c r="D5" s="133" t="str">
        <f>'CONSUMOS Y PRODUCCIÓN'!F37</f>
        <v>M3</v>
      </c>
      <c r="E5" s="259" t="s">
        <v>190</v>
      </c>
      <c r="F5" s="259" t="s">
        <v>194</v>
      </c>
      <c r="G5" s="205" t="s">
        <v>29</v>
      </c>
      <c r="H5" s="205" t="s">
        <v>163</v>
      </c>
      <c r="I5" s="205" t="s">
        <v>196</v>
      </c>
      <c r="J5" s="205" t="s">
        <v>195</v>
      </c>
      <c r="K5" s="133" t="str">
        <f>+'CONSUMOS Y PRODUCCIÓN'!F3</f>
        <v>kWh</v>
      </c>
      <c r="L5" s="133" t="str">
        <f>'CONSUMOS Y PRODUCCIÓN'!I37</f>
        <v>kWh</v>
      </c>
      <c r="M5" s="205" t="s">
        <v>26</v>
      </c>
      <c r="N5" s="205" t="s">
        <v>26</v>
      </c>
      <c r="O5" s="259" t="s">
        <v>127</v>
      </c>
      <c r="P5" s="259" t="s">
        <v>127</v>
      </c>
      <c r="Q5" s="259" t="s">
        <v>127</v>
      </c>
      <c r="R5" s="259" t="s">
        <v>127</v>
      </c>
      <c r="S5" s="133" t="s">
        <v>85</v>
      </c>
      <c r="T5" s="205" t="s">
        <v>128</v>
      </c>
      <c r="U5" s="226"/>
      <c r="V5" s="226"/>
      <c r="W5" s="226"/>
      <c r="X5" s="226"/>
      <c r="Y5" s="226"/>
      <c r="Z5" s="226"/>
      <c r="AA5" s="226"/>
      <c r="AB5" s="226"/>
    </row>
    <row r="6" spans="1:28">
      <c r="A6" s="135" t="str">
        <f>'CONSUMOS Y PRODUCCIÓN'!B4</f>
        <v>Enero</v>
      </c>
      <c r="B6" s="146">
        <f>'CONSUMOS Y PRODUCCIÓN'!C131</f>
        <v>1459</v>
      </c>
      <c r="C6" s="146">
        <f>+'CONSUMOS Y PRODUCCIÓN'!F4</f>
        <v>644837.44999999995</v>
      </c>
      <c r="D6" s="146">
        <f>+'CONSUMOS Y PRODUCCIÓN'!F38</f>
        <v>5509</v>
      </c>
      <c r="E6" s="146">
        <f>'CONSUMOS Y PRODUCCIÓN'!C63</f>
        <v>225</v>
      </c>
      <c r="F6" s="146">
        <f>'CONSUMOS Y PRODUCCIÓN'!F131</f>
        <v>2475</v>
      </c>
      <c r="G6" s="98">
        <f>+C6/B6</f>
        <v>441.97220699108976</v>
      </c>
      <c r="H6" s="147">
        <f>+(D6/B6)</f>
        <v>3.7758738862234407</v>
      </c>
      <c r="I6" s="147">
        <f>E6/B6</f>
        <v>0.15421521590130227</v>
      </c>
      <c r="J6" s="148">
        <f>F6/B6</f>
        <v>1.6963673749143249</v>
      </c>
      <c r="K6" s="146">
        <f>+'CONSUMOS Y PRODUCCIÓN'!F4</f>
        <v>644837.44999999995</v>
      </c>
      <c r="L6" s="146">
        <f>'CONSUMOS Y PRODUCCIÓN'!I38</f>
        <v>54990.838000000003</v>
      </c>
      <c r="M6" s="146">
        <f>'CONSUMOS Y PRODUCCIÓN'!F63</f>
        <v>8597.6679048750011</v>
      </c>
      <c r="N6" s="146">
        <f>'CONSUMOS Y PRODUCCIÓN'!I131</f>
        <v>34002.252900000007</v>
      </c>
      <c r="O6" s="228">
        <f>B6/K6</f>
        <v>2.2625857105538771E-3</v>
      </c>
      <c r="P6" s="181">
        <f>+B6/L6</f>
        <v>2.6531692424836297E-2</v>
      </c>
      <c r="Q6" s="181">
        <f>B6/M6</f>
        <v>0.1696971802286904</v>
      </c>
      <c r="R6" s="181">
        <f>B6/N6</f>
        <v>4.2908921485023122E-2</v>
      </c>
      <c r="S6" s="98">
        <f>SUM(K6:N6)</f>
        <v>742428.20880487491</v>
      </c>
      <c r="T6" s="149">
        <f>+S6/B6</f>
        <v>508.86100672027067</v>
      </c>
      <c r="U6" s="226"/>
      <c r="V6" s="226"/>
      <c r="W6" s="226"/>
      <c r="X6" s="226"/>
      <c r="Y6" s="226"/>
      <c r="Z6" s="226"/>
      <c r="AA6" s="226"/>
      <c r="AB6" s="226"/>
    </row>
    <row r="7" spans="1:28">
      <c r="A7" s="135" t="str">
        <f>'CONSUMOS Y PRODUCCIÓN'!B5</f>
        <v>Febrero</v>
      </c>
      <c r="B7" s="146">
        <f>'CONSUMOS Y PRODUCCIÓN'!C132</f>
        <v>1499</v>
      </c>
      <c r="C7" s="146">
        <f>+'CONSUMOS Y PRODUCCIÓN'!F5</f>
        <v>673039.01</v>
      </c>
      <c r="D7" s="146">
        <f>+'CONSUMOS Y PRODUCCIÓN'!F39</f>
        <v>4621</v>
      </c>
      <c r="E7" s="146">
        <f>'CONSUMOS Y PRODUCCIÓN'!C64</f>
        <v>78</v>
      </c>
      <c r="F7" s="146">
        <f>'CONSUMOS Y PRODUCCIÓN'!F132</f>
        <v>3465</v>
      </c>
      <c r="G7" s="98">
        <f t="shared" ref="G7:G17" si="0">+C7/B7</f>
        <v>448.99200133422283</v>
      </c>
      <c r="H7" s="147">
        <f t="shared" ref="H7:H17" si="1">+(D7/B7)</f>
        <v>3.0827218145430288</v>
      </c>
      <c r="I7" s="147">
        <f t="shared" ref="I7:I17" si="2">E7/B7</f>
        <v>5.2034689793195463E-2</v>
      </c>
      <c r="J7" s="148">
        <f t="shared" ref="J7:J17" si="3">F7/B7</f>
        <v>2.3115410273515677</v>
      </c>
      <c r="K7" s="146">
        <f>+'CONSUMOS Y PRODUCCIÓN'!F5</f>
        <v>673039.01</v>
      </c>
      <c r="L7" s="146">
        <f>'CONSUMOS Y PRODUCCIÓN'!I39</f>
        <v>46126.822</v>
      </c>
      <c r="M7" s="146">
        <f>'CONSUMOS Y PRODUCCIÓN'!F64</f>
        <v>2980.5248736900007</v>
      </c>
      <c r="N7" s="146">
        <f>'CONSUMOS Y PRODUCCIÓN'!I132</f>
        <v>47603.154060000001</v>
      </c>
      <c r="O7" s="228">
        <f t="shared" ref="O7:O17" si="4">B7/K7</f>
        <v>2.227211168636421E-3</v>
      </c>
      <c r="P7" s="181">
        <f t="shared" ref="P7:P17" si="5">+B7/L7</f>
        <v>3.2497361296644281E-2</v>
      </c>
      <c r="Q7" s="181">
        <f t="shared" ref="Q7:Q17" si="6">B7/M7</f>
        <v>0.50293155183240668</v>
      </c>
      <c r="R7" s="181">
        <f t="shared" ref="R7:R17" si="7">B7/N7</f>
        <v>3.14895100881473E-2</v>
      </c>
      <c r="S7" s="98">
        <f t="shared" ref="S7:S17" si="8">SUM(K7:N7)</f>
        <v>769749.51093369001</v>
      </c>
      <c r="T7" s="149">
        <f t="shared" ref="T7:T17" si="9">+S7/B7</f>
        <v>513.50867974228822</v>
      </c>
      <c r="U7" s="226"/>
      <c r="V7" s="226"/>
      <c r="W7" s="226"/>
      <c r="X7" s="226"/>
      <c r="Y7" s="226"/>
      <c r="Z7" s="226"/>
      <c r="AA7" s="226"/>
      <c r="AB7" s="226"/>
    </row>
    <row r="8" spans="1:28">
      <c r="A8" s="135" t="str">
        <f>'CONSUMOS Y PRODUCCIÓN'!B6</f>
        <v>Marzo</v>
      </c>
      <c r="B8" s="146">
        <f>'CONSUMOS Y PRODUCCIÓN'!C133</f>
        <v>1547</v>
      </c>
      <c r="C8" s="146">
        <f>+'CONSUMOS Y PRODUCCIÓN'!F6</f>
        <v>742199.91999999993</v>
      </c>
      <c r="D8" s="146">
        <f>+'CONSUMOS Y PRODUCCIÓN'!F40</f>
        <v>5758</v>
      </c>
      <c r="E8" s="146">
        <f>'CONSUMOS Y PRODUCCIÓN'!C65</f>
        <v>116</v>
      </c>
      <c r="F8" s="146">
        <f>'CONSUMOS Y PRODUCCIÓN'!F133</f>
        <v>3060</v>
      </c>
      <c r="G8" s="98">
        <f t="shared" si="0"/>
        <v>479.76723981900449</v>
      </c>
      <c r="H8" s="147">
        <f t="shared" si="1"/>
        <v>3.7220426632191339</v>
      </c>
      <c r="I8" s="147">
        <f t="shared" si="2"/>
        <v>7.498383968972204E-2</v>
      </c>
      <c r="J8" s="148">
        <f t="shared" si="3"/>
        <v>1.9780219780219781</v>
      </c>
      <c r="K8" s="146">
        <f>+'CONSUMOS Y PRODUCCIÓN'!F6</f>
        <v>742199.91999999993</v>
      </c>
      <c r="L8" s="146">
        <f>'CONSUMOS Y PRODUCCIÓN'!I40</f>
        <v>57476.356</v>
      </c>
      <c r="M8" s="146">
        <f>'CONSUMOS Y PRODUCCIÓN'!F65</f>
        <v>4432.5754531800003</v>
      </c>
      <c r="N8" s="146">
        <f>'CONSUMOS Y PRODUCCIÓN'!I133</f>
        <v>42039.149040000004</v>
      </c>
      <c r="O8" s="228">
        <f t="shared" si="4"/>
        <v>2.0843440672965851E-3</v>
      </c>
      <c r="P8" s="181">
        <f t="shared" si="5"/>
        <v>2.6915415444917906E-2</v>
      </c>
      <c r="Q8" s="181">
        <f t="shared" si="6"/>
        <v>0.34900703131633271</v>
      </c>
      <c r="R8" s="181">
        <f t="shared" si="7"/>
        <v>3.6799032219420963E-2</v>
      </c>
      <c r="S8" s="98">
        <f t="shared" si="8"/>
        <v>846148.00049318001</v>
      </c>
      <c r="T8" s="149">
        <f t="shared" si="9"/>
        <v>546.96056916171949</v>
      </c>
      <c r="U8" s="226"/>
      <c r="V8" s="226"/>
      <c r="W8" s="226"/>
      <c r="X8" s="226"/>
      <c r="Y8" s="226"/>
      <c r="Z8" s="226"/>
      <c r="AA8" s="226"/>
      <c r="AB8" s="226"/>
    </row>
    <row r="9" spans="1:28">
      <c r="A9" s="135" t="str">
        <f>'CONSUMOS Y PRODUCCIÓN'!B7</f>
        <v>Abril</v>
      </c>
      <c r="B9" s="146">
        <f>'CONSUMOS Y PRODUCCIÓN'!C134</f>
        <v>990</v>
      </c>
      <c r="C9" s="146">
        <f>+'CONSUMOS Y PRODUCCIÓN'!F7</f>
        <v>510346.82999999996</v>
      </c>
      <c r="D9" s="146">
        <f>+'CONSUMOS Y PRODUCCIÓN'!F41</f>
        <v>6556</v>
      </c>
      <c r="E9" s="146">
        <f>'CONSUMOS Y PRODUCCIÓN'!C66</f>
        <v>24</v>
      </c>
      <c r="F9" s="146">
        <f>'CONSUMOS Y PRODUCCIÓN'!F134</f>
        <v>2730</v>
      </c>
      <c r="G9" s="98">
        <f t="shared" si="0"/>
        <v>515.50184848484844</v>
      </c>
      <c r="H9" s="147">
        <f t="shared" si="1"/>
        <v>6.6222222222222218</v>
      </c>
      <c r="I9" s="147">
        <f t="shared" si="2"/>
        <v>2.4242424242424242E-2</v>
      </c>
      <c r="J9" s="148">
        <f t="shared" si="3"/>
        <v>2.7575757575757578</v>
      </c>
      <c r="K9" s="146">
        <f>+'CONSUMOS Y PRODUCCIÓN'!F7</f>
        <v>510346.82999999996</v>
      </c>
      <c r="L9" s="146">
        <f>'CONSUMOS Y PRODUCCIÓN'!I41</f>
        <v>65441.992000000006</v>
      </c>
      <c r="M9" s="146">
        <f>'CONSUMOS Y PRODUCCIÓN'!F66</f>
        <v>917.08457652000016</v>
      </c>
      <c r="N9" s="146">
        <f>'CONSUMOS Y PRODUCCIÓN'!I134</f>
        <v>37505.515320000006</v>
      </c>
      <c r="O9" s="228">
        <f t="shared" si="4"/>
        <v>1.9398572535465736E-3</v>
      </c>
      <c r="P9" s="181">
        <f t="shared" si="5"/>
        <v>1.5127901363393705E-2</v>
      </c>
      <c r="Q9" s="181">
        <f t="shared" si="6"/>
        <v>1.0795078505808997</v>
      </c>
      <c r="R9" s="181">
        <f t="shared" si="7"/>
        <v>2.6396117785697441E-2</v>
      </c>
      <c r="S9" s="98">
        <f t="shared" si="8"/>
        <v>614211.42189651995</v>
      </c>
      <c r="T9" s="149">
        <f t="shared" si="9"/>
        <v>620.41557767325253</v>
      </c>
      <c r="U9" s="226"/>
      <c r="V9" s="226"/>
      <c r="W9" s="226"/>
      <c r="X9" s="226"/>
      <c r="Y9" s="226"/>
      <c r="Z9" s="226"/>
      <c r="AA9" s="226"/>
      <c r="AB9" s="226"/>
    </row>
    <row r="10" spans="1:28">
      <c r="A10" s="135" t="str">
        <f>'CONSUMOS Y PRODUCCIÓN'!B8</f>
        <v>Mayo</v>
      </c>
      <c r="B10" s="146">
        <f>'CONSUMOS Y PRODUCCIÓN'!C135</f>
        <v>1220</v>
      </c>
      <c r="C10" s="146">
        <f>+'CONSUMOS Y PRODUCCIÓN'!F8</f>
        <v>589417.18999999994</v>
      </c>
      <c r="D10" s="146">
        <f>+'CONSUMOS Y PRODUCCIÓN'!F42</f>
        <v>5995</v>
      </c>
      <c r="E10" s="146">
        <f>'CONSUMOS Y PRODUCCIÓN'!C67</f>
        <v>0</v>
      </c>
      <c r="F10" s="146">
        <f>'CONSUMOS Y PRODUCCIÓN'!F135</f>
        <v>2745</v>
      </c>
      <c r="G10" s="98">
        <f t="shared" si="0"/>
        <v>483.12884426229505</v>
      </c>
      <c r="H10" s="147">
        <f t="shared" si="1"/>
        <v>4.9139344262295079</v>
      </c>
      <c r="I10" s="147">
        <f t="shared" si="2"/>
        <v>0</v>
      </c>
      <c r="J10" s="148">
        <f t="shared" si="3"/>
        <v>2.25</v>
      </c>
      <c r="K10" s="146">
        <f>+'CONSUMOS Y PRODUCCIÓN'!F8</f>
        <v>589417.18999999994</v>
      </c>
      <c r="L10" s="146">
        <f>'CONSUMOS Y PRODUCCIÓN'!I42</f>
        <v>59842.090000000004</v>
      </c>
      <c r="M10" s="146">
        <f>'CONSUMOS Y PRODUCCIÓN'!F67</f>
        <v>0</v>
      </c>
      <c r="N10" s="146">
        <f>'CONSUMOS Y PRODUCCIÓN'!I135</f>
        <v>37711.589580000007</v>
      </c>
      <c r="O10" s="228">
        <f>B10/K10</f>
        <v>2.0698412273995608E-3</v>
      </c>
      <c r="P10" s="181">
        <f t="shared" si="5"/>
        <v>2.0386988489205508E-2</v>
      </c>
      <c r="Q10" s="181">
        <v>0</v>
      </c>
      <c r="R10" s="181">
        <f t="shared" si="7"/>
        <v>3.235079755553491E-2</v>
      </c>
      <c r="S10" s="98">
        <f t="shared" si="8"/>
        <v>686970.86957999994</v>
      </c>
      <c r="T10" s="149">
        <f t="shared" si="9"/>
        <v>563.09087670491795</v>
      </c>
      <c r="U10" s="226"/>
      <c r="V10" s="226"/>
      <c r="W10" s="226"/>
      <c r="X10" s="226"/>
      <c r="Y10" s="226"/>
      <c r="Z10" s="226"/>
      <c r="AA10" s="226"/>
      <c r="AB10" s="226"/>
    </row>
    <row r="11" spans="1:28">
      <c r="A11" s="135" t="str">
        <f>'CONSUMOS Y PRODUCCIÓN'!B9</f>
        <v>Junio</v>
      </c>
      <c r="B11" s="146">
        <f>'CONSUMOS Y PRODUCCIÓN'!C136</f>
        <v>855</v>
      </c>
      <c r="C11" s="146">
        <f>+'CONSUMOS Y PRODUCCIÓN'!F9</f>
        <v>416692.83999999997</v>
      </c>
      <c r="D11" s="146">
        <f>+'CONSUMOS Y PRODUCCIÓN'!F43</f>
        <v>3931</v>
      </c>
      <c r="E11" s="146">
        <f>'CONSUMOS Y PRODUCCIÓN'!C68</f>
        <v>15</v>
      </c>
      <c r="F11" s="146">
        <f>'CONSUMOS Y PRODUCCIÓN'!F136</f>
        <v>2460</v>
      </c>
      <c r="G11" s="98">
        <f t="shared" si="0"/>
        <v>487.36004678362571</v>
      </c>
      <c r="H11" s="147">
        <f t="shared" si="1"/>
        <v>4.5976608187134502</v>
      </c>
      <c r="I11" s="147">
        <f t="shared" si="2"/>
        <v>1.7543859649122806E-2</v>
      </c>
      <c r="J11" s="148">
        <f t="shared" si="3"/>
        <v>2.8771929824561404</v>
      </c>
      <c r="K11" s="146">
        <f>+'CONSUMOS Y PRODUCCIÓN'!F9</f>
        <v>416692.83999999997</v>
      </c>
      <c r="L11" s="146">
        <f>'CONSUMOS Y PRODUCCIÓN'!I43</f>
        <v>39239.242000000006</v>
      </c>
      <c r="M11" s="146">
        <f>'CONSUMOS Y PRODUCCIÓN'!F68</f>
        <v>573.1778603250001</v>
      </c>
      <c r="N11" s="146">
        <f>'CONSUMOS Y PRODUCCIÓN'!I136</f>
        <v>33796.178640000006</v>
      </c>
      <c r="O11" s="228">
        <f t="shared" si="4"/>
        <v>2.0518711096643755E-3</v>
      </c>
      <c r="P11" s="181">
        <f t="shared" si="5"/>
        <v>2.1789411732265365E-2</v>
      </c>
      <c r="Q11" s="181">
        <f t="shared" si="6"/>
        <v>1.4916835753481523</v>
      </c>
      <c r="R11" s="181">
        <f t="shared" si="7"/>
        <v>2.5298718210349708E-2</v>
      </c>
      <c r="S11" s="98">
        <f t="shared" si="8"/>
        <v>490301.43850032502</v>
      </c>
      <c r="T11" s="149">
        <f t="shared" si="9"/>
        <v>573.45197485418134</v>
      </c>
      <c r="U11" s="226"/>
      <c r="V11" s="226"/>
      <c r="W11" s="226"/>
      <c r="X11" s="226"/>
      <c r="Y11" s="226"/>
      <c r="Z11" s="226"/>
      <c r="AA11" s="226"/>
      <c r="AB11" s="226"/>
    </row>
    <row r="12" spans="1:28">
      <c r="A12" s="135" t="str">
        <f>'CONSUMOS Y PRODUCCIÓN'!B10</f>
        <v>Julio</v>
      </c>
      <c r="B12" s="146">
        <f>'CONSUMOS Y PRODUCCIÓN'!C137</f>
        <v>1412</v>
      </c>
      <c r="C12" s="146">
        <f>+'CONSUMOS Y PRODUCCIÓN'!F10</f>
        <v>659096.22</v>
      </c>
      <c r="D12" s="146">
        <f>+'CONSUMOS Y PRODUCCIÓN'!F44</f>
        <v>7930</v>
      </c>
      <c r="E12" s="146">
        <f>'CONSUMOS Y PRODUCCIÓN'!C69</f>
        <v>158</v>
      </c>
      <c r="F12" s="146">
        <f>'CONSUMOS Y PRODUCCIÓN'!F137</f>
        <v>0</v>
      </c>
      <c r="G12" s="98">
        <f t="shared" si="0"/>
        <v>466.7820254957507</v>
      </c>
      <c r="H12" s="147">
        <f t="shared" si="1"/>
        <v>5.6161473087818701</v>
      </c>
      <c r="I12" s="147">
        <f t="shared" si="2"/>
        <v>0.11189801699716714</v>
      </c>
      <c r="J12" s="148">
        <f t="shared" si="3"/>
        <v>0</v>
      </c>
      <c r="K12" s="146">
        <f>+'CONSUMOS Y PRODUCCIÓN'!F10</f>
        <v>659096.22</v>
      </c>
      <c r="L12" s="146">
        <f>'CONSUMOS Y PRODUCCIÓN'!I44</f>
        <v>79157.260000000009</v>
      </c>
      <c r="M12" s="146">
        <f>'CONSUMOS Y PRODUCCIÓN'!F69</f>
        <v>6037.4734620900008</v>
      </c>
      <c r="N12" s="146">
        <f>'CONSUMOS Y PRODUCCIÓN'!I137</f>
        <v>0</v>
      </c>
      <c r="O12" s="228">
        <f t="shared" si="4"/>
        <v>2.1423275648584359E-3</v>
      </c>
      <c r="P12" s="181">
        <f t="shared" si="5"/>
        <v>1.7837908992807482E-2</v>
      </c>
      <c r="Q12" s="181">
        <f t="shared" si="6"/>
        <v>0.23387266360110939</v>
      </c>
      <c r="R12" s="181">
        <v>0</v>
      </c>
      <c r="S12" s="98">
        <f t="shared" si="8"/>
        <v>744290.95346208999</v>
      </c>
      <c r="T12" s="149">
        <f t="shared" si="9"/>
        <v>527.11823899581441</v>
      </c>
      <c r="U12" s="226"/>
      <c r="V12" s="226"/>
      <c r="W12" s="226"/>
      <c r="X12" s="226"/>
      <c r="Y12" s="226"/>
      <c r="Z12" s="226"/>
      <c r="AA12" s="226"/>
      <c r="AB12" s="226"/>
    </row>
    <row r="13" spans="1:28">
      <c r="A13" s="135" t="str">
        <f>'CONSUMOS Y PRODUCCIÓN'!B11</f>
        <v>Agosto</v>
      </c>
      <c r="B13" s="146">
        <f>'CONSUMOS Y PRODUCCIÓN'!C138</f>
        <v>1491</v>
      </c>
      <c r="C13" s="146">
        <f>+'CONSUMOS Y PRODUCCIÓN'!F11</f>
        <v>652987.49</v>
      </c>
      <c r="D13" s="146">
        <f>+'CONSUMOS Y PRODUCCIÓN'!F45</f>
        <v>7450</v>
      </c>
      <c r="E13" s="146">
        <f>'CONSUMOS Y PRODUCCIÓN'!C70</f>
        <v>0</v>
      </c>
      <c r="F13" s="146">
        <f>'CONSUMOS Y PRODUCCIÓN'!F138</f>
        <v>7200</v>
      </c>
      <c r="G13" s="98">
        <f t="shared" si="0"/>
        <v>437.95270959087861</v>
      </c>
      <c r="H13" s="147">
        <f t="shared" si="1"/>
        <v>4.9966465459423208</v>
      </c>
      <c r="I13" s="147">
        <f t="shared" si="2"/>
        <v>0</v>
      </c>
      <c r="J13" s="148">
        <f t="shared" si="3"/>
        <v>4.8289738430583498</v>
      </c>
      <c r="K13" s="146">
        <f>+'CONSUMOS Y PRODUCCIÓN'!F11</f>
        <v>652987.49</v>
      </c>
      <c r="L13" s="146">
        <f>'CONSUMOS Y PRODUCCIÓN'!I45</f>
        <v>74365.900000000009</v>
      </c>
      <c r="M13" s="146">
        <f>'CONSUMOS Y PRODUCCIÓN'!F70</f>
        <v>0</v>
      </c>
      <c r="N13" s="146">
        <f>'CONSUMOS Y PRODUCCIÓN'!I138</f>
        <v>98915.644800000024</v>
      </c>
      <c r="O13" s="228">
        <f t="shared" si="4"/>
        <v>2.2833515539478406E-3</v>
      </c>
      <c r="P13" s="181">
        <f t="shared" si="5"/>
        <v>2.0049511940284457E-2</v>
      </c>
      <c r="Q13" s="181">
        <v>0</v>
      </c>
      <c r="R13" s="181">
        <f t="shared" si="7"/>
        <v>1.5073449736032047E-2</v>
      </c>
      <c r="S13" s="98">
        <f t="shared" si="8"/>
        <v>826269.03480000002</v>
      </c>
      <c r="T13" s="149">
        <f t="shared" si="9"/>
        <v>554.17104949698194</v>
      </c>
      <c r="U13" s="226"/>
      <c r="V13" s="226"/>
      <c r="W13" s="226"/>
      <c r="X13" s="226"/>
      <c r="Y13" s="226"/>
      <c r="Z13" s="226"/>
      <c r="AA13" s="226"/>
      <c r="AB13" s="226"/>
    </row>
    <row r="14" spans="1:28">
      <c r="A14" s="135" t="str">
        <f>'CONSUMOS Y PRODUCCIÓN'!B12</f>
        <v>Septiembre</v>
      </c>
      <c r="B14" s="146">
        <f>'CONSUMOS Y PRODUCCIÓN'!C139</f>
        <v>1443</v>
      </c>
      <c r="C14" s="146">
        <f>+'CONSUMOS Y PRODUCCIÓN'!F12</f>
        <v>692326.39</v>
      </c>
      <c r="D14" s="146">
        <f>+'CONSUMOS Y PRODUCCIÓN'!F46</f>
        <v>8540</v>
      </c>
      <c r="E14" s="146">
        <f>'CONSUMOS Y PRODUCCIÓN'!C71</f>
        <v>0</v>
      </c>
      <c r="F14" s="146">
        <f>'CONSUMOS Y PRODUCCIÓN'!F139</f>
        <v>4095</v>
      </c>
      <c r="G14" s="98">
        <f t="shared" si="0"/>
        <v>479.78266805266804</v>
      </c>
      <c r="H14" s="147">
        <f t="shared" si="1"/>
        <v>5.918225918225918</v>
      </c>
      <c r="I14" s="147">
        <f t="shared" si="2"/>
        <v>0</v>
      </c>
      <c r="J14" s="148">
        <f t="shared" si="3"/>
        <v>2.8378378378378377</v>
      </c>
      <c r="K14" s="146">
        <f>+'CONSUMOS Y PRODUCCIÓN'!F12</f>
        <v>692326.39</v>
      </c>
      <c r="L14" s="146">
        <f>'CONSUMOS Y PRODUCCIÓN'!I46</f>
        <v>85246.280000000013</v>
      </c>
      <c r="M14" s="146">
        <f>'CONSUMOS Y PRODUCCIÓN'!F71</f>
        <v>0</v>
      </c>
      <c r="N14" s="146">
        <f>'CONSUMOS Y PRODUCCIÓN'!I139</f>
        <v>56258.272980000009</v>
      </c>
      <c r="O14" s="228">
        <f t="shared" si="4"/>
        <v>2.0842770416421652E-3</v>
      </c>
      <c r="P14" s="181">
        <f t="shared" si="5"/>
        <v>1.6927424868275774E-2</v>
      </c>
      <c r="Q14" s="181">
        <v>0</v>
      </c>
      <c r="R14" s="181">
        <f t="shared" si="7"/>
        <v>2.5649560919031252E-2</v>
      </c>
      <c r="S14" s="98">
        <f t="shared" si="8"/>
        <v>833830.94298000005</v>
      </c>
      <c r="T14" s="149">
        <f t="shared" si="9"/>
        <v>577.84542133056141</v>
      </c>
      <c r="U14" s="226"/>
      <c r="V14" s="226"/>
      <c r="W14" s="226"/>
      <c r="X14" s="226"/>
      <c r="Y14" s="226"/>
      <c r="Z14" s="226"/>
      <c r="AA14" s="226"/>
      <c r="AB14" s="226"/>
    </row>
    <row r="15" spans="1:28">
      <c r="A15" s="135" t="str">
        <f>'CONSUMOS Y PRODUCCIÓN'!B13</f>
        <v>Octubre</v>
      </c>
      <c r="B15" s="146">
        <f>'CONSUMOS Y PRODUCCIÓN'!C140</f>
        <v>1726</v>
      </c>
      <c r="C15" s="146">
        <f>+'CONSUMOS Y PRODUCCIÓN'!F13</f>
        <v>780657.88</v>
      </c>
      <c r="D15" s="146">
        <f>+'CONSUMOS Y PRODUCCIÓN'!F47</f>
        <v>7024</v>
      </c>
      <c r="E15" s="146">
        <f>'CONSUMOS Y PRODUCCIÓN'!C72</f>
        <v>0</v>
      </c>
      <c r="F15" s="146">
        <f>'CONSUMOS Y PRODUCCIÓN'!F140</f>
        <v>3960</v>
      </c>
      <c r="G15" s="98">
        <f t="shared" si="0"/>
        <v>452.29309385863269</v>
      </c>
      <c r="H15" s="147">
        <f t="shared" si="1"/>
        <v>4.0695249130938587</v>
      </c>
      <c r="I15" s="147">
        <f t="shared" si="2"/>
        <v>0</v>
      </c>
      <c r="J15" s="148">
        <f t="shared" si="3"/>
        <v>2.294322132097335</v>
      </c>
      <c r="K15" s="146">
        <f>+'CONSUMOS Y PRODUCCIÓN'!F13</f>
        <v>780657.88</v>
      </c>
      <c r="L15" s="146">
        <f>'CONSUMOS Y PRODUCCIÓN'!I47</f>
        <v>70113.567999999999</v>
      </c>
      <c r="M15" s="146">
        <f>'CONSUMOS Y PRODUCCIÓN'!F72</f>
        <v>0</v>
      </c>
      <c r="N15" s="146">
        <f>'CONSUMOS Y PRODUCCIÓN'!I140</f>
        <v>54403.604640000005</v>
      </c>
      <c r="O15" s="228">
        <f t="shared" si="4"/>
        <v>2.2109557134041865E-3</v>
      </c>
      <c r="P15" s="181">
        <f t="shared" si="5"/>
        <v>2.4617203905526529E-2</v>
      </c>
      <c r="Q15" s="181">
        <v>0</v>
      </c>
      <c r="R15" s="181">
        <f t="shared" si="7"/>
        <v>3.1725838966393895E-2</v>
      </c>
      <c r="S15" s="98">
        <f t="shared" si="8"/>
        <v>905175.05264000001</v>
      </c>
      <c r="T15" s="149">
        <f t="shared" si="9"/>
        <v>524.43514057937432</v>
      </c>
      <c r="U15" s="226"/>
      <c r="V15" s="226"/>
      <c r="W15" s="226"/>
      <c r="X15" s="226"/>
      <c r="Y15" s="226"/>
      <c r="Z15" s="226"/>
      <c r="AA15" s="226"/>
      <c r="AB15" s="226"/>
    </row>
    <row r="16" spans="1:28">
      <c r="A16" s="135" t="str">
        <f>'CONSUMOS Y PRODUCCIÓN'!B14</f>
        <v>Noviembre</v>
      </c>
      <c r="B16" s="146">
        <f>'CONSUMOS Y PRODUCCIÓN'!C141</f>
        <v>1525</v>
      </c>
      <c r="C16" s="146">
        <f>+'CONSUMOS Y PRODUCCIÓN'!F14</f>
        <v>738073.57000000007</v>
      </c>
      <c r="D16" s="146">
        <f>+'CONSUMOS Y PRODUCCIÓN'!F48</f>
        <v>7344</v>
      </c>
      <c r="E16" s="146">
        <f>'CONSUMOS Y PRODUCCIÓN'!C73</f>
        <v>510</v>
      </c>
      <c r="F16" s="146">
        <f>'CONSUMOS Y PRODUCCIÓN'!F141</f>
        <v>3885</v>
      </c>
      <c r="G16" s="98">
        <f t="shared" si="0"/>
        <v>483.98266885245908</v>
      </c>
      <c r="H16" s="147">
        <f t="shared" si="1"/>
        <v>4.8157377049180328</v>
      </c>
      <c r="I16" s="147">
        <f t="shared" si="2"/>
        <v>0.33442622950819673</v>
      </c>
      <c r="J16" s="148">
        <f t="shared" si="3"/>
        <v>2.5475409836065572</v>
      </c>
      <c r="K16" s="146">
        <f>+'CONSUMOS Y PRODUCCIÓN'!F14</f>
        <v>738073.57000000007</v>
      </c>
      <c r="L16" s="146">
        <f>'CONSUMOS Y PRODUCCIÓN'!I48</f>
        <v>73307.808000000005</v>
      </c>
      <c r="M16" s="146">
        <f>'CONSUMOS Y PRODUCCIÓN'!F73</f>
        <v>19488.047251050004</v>
      </c>
      <c r="N16" s="146">
        <f>'CONSUMOS Y PRODUCCIÓN'!I141</f>
        <v>53373.233340000006</v>
      </c>
      <c r="O16" s="228">
        <f t="shared" si="4"/>
        <v>2.0661896889222031E-3</v>
      </c>
      <c r="P16" s="181">
        <f t="shared" si="5"/>
        <v>2.0802695396375786E-2</v>
      </c>
      <c r="Q16" s="181">
        <f t="shared" si="6"/>
        <v>7.8253094338009366E-2</v>
      </c>
      <c r="R16" s="181">
        <f t="shared" si="7"/>
        <v>2.8572374288913557E-2</v>
      </c>
      <c r="S16" s="98">
        <f t="shared" si="8"/>
        <v>884242.65859105007</v>
      </c>
      <c r="T16" s="149">
        <f t="shared" si="9"/>
        <v>579.8312515351148</v>
      </c>
      <c r="U16" s="226"/>
      <c r="V16" s="226"/>
      <c r="W16" s="226"/>
      <c r="X16" s="226"/>
      <c r="Y16" s="226"/>
      <c r="Z16" s="226"/>
      <c r="AA16" s="226"/>
      <c r="AB16" s="226"/>
    </row>
    <row r="17" spans="1:28">
      <c r="A17" s="135" t="str">
        <f>'CONSUMOS Y PRODUCCIÓN'!B15</f>
        <v>Diciembre</v>
      </c>
      <c r="B17" s="146">
        <f>'CONSUMOS Y PRODUCCIÓN'!C142</f>
        <v>1535</v>
      </c>
      <c r="C17" s="146">
        <f>+'CONSUMOS Y PRODUCCIÓN'!F15</f>
        <v>703026.40999999992</v>
      </c>
      <c r="D17" s="146">
        <f>+'CONSUMOS Y PRODUCCIÓN'!F49</f>
        <v>5014</v>
      </c>
      <c r="E17" s="146">
        <f>'CONSUMOS Y PRODUCCIÓN'!C74</f>
        <v>166</v>
      </c>
      <c r="F17" s="146">
        <f>'CONSUMOS Y PRODUCCIÓN'!F142</f>
        <v>3540</v>
      </c>
      <c r="G17" s="98">
        <f t="shared" si="0"/>
        <v>457.99766123778494</v>
      </c>
      <c r="H17" s="147">
        <f t="shared" si="1"/>
        <v>3.2664495114006513</v>
      </c>
      <c r="I17" s="147">
        <f t="shared" si="2"/>
        <v>0.10814332247557003</v>
      </c>
      <c r="J17" s="148">
        <f t="shared" si="3"/>
        <v>2.3061889250814334</v>
      </c>
      <c r="K17" s="146">
        <f>+'CONSUMOS Y PRODUCCIÓN'!F15</f>
        <v>703026.40999999992</v>
      </c>
      <c r="L17" s="146">
        <f>'CONSUMOS Y PRODUCCIÓN'!I49</f>
        <v>50049.748000000007</v>
      </c>
      <c r="M17" s="146">
        <f>'CONSUMOS Y PRODUCCIÓN'!F74</f>
        <v>6343.1683209300027</v>
      </c>
      <c r="N17" s="146">
        <f>'CONSUMOS Y PRODUCCIÓN'!I142</f>
        <v>48633.525360000007</v>
      </c>
      <c r="O17" s="228">
        <f t="shared" si="4"/>
        <v>2.1834172630868878E-3</v>
      </c>
      <c r="P17" s="181">
        <f t="shared" si="5"/>
        <v>3.0669485089115728E-2</v>
      </c>
      <c r="Q17" s="181">
        <f t="shared" si="6"/>
        <v>0.2419926324412823</v>
      </c>
      <c r="R17" s="181">
        <f t="shared" si="7"/>
        <v>3.1562589564245395E-2</v>
      </c>
      <c r="S17" s="98">
        <f t="shared" si="8"/>
        <v>808052.85168092989</v>
      </c>
      <c r="T17" s="149">
        <f t="shared" si="9"/>
        <v>526.418795883342</v>
      </c>
      <c r="U17" s="226"/>
      <c r="V17" s="226"/>
      <c r="W17" s="226"/>
      <c r="X17" s="226"/>
      <c r="Y17" s="226"/>
      <c r="Z17" s="226"/>
      <c r="AA17" s="226"/>
      <c r="AB17" s="226"/>
    </row>
    <row r="18" spans="1:28">
      <c r="A18" s="135"/>
      <c r="B18" s="146"/>
      <c r="C18" s="146"/>
      <c r="D18" s="146"/>
      <c r="E18" s="146"/>
      <c r="F18" s="146"/>
      <c r="G18" s="98"/>
      <c r="H18" s="147"/>
      <c r="I18" s="147"/>
      <c r="J18" s="148"/>
      <c r="K18" s="146"/>
      <c r="L18" s="146"/>
      <c r="M18" s="146"/>
      <c r="N18" s="146"/>
      <c r="O18" s="149"/>
      <c r="P18" s="181"/>
      <c r="Q18" s="149"/>
      <c r="R18" s="149"/>
      <c r="S18" s="98"/>
      <c r="T18" s="149"/>
      <c r="U18" s="226"/>
      <c r="V18" s="226"/>
      <c r="W18" s="226"/>
      <c r="X18" s="226"/>
      <c r="Y18" s="226"/>
      <c r="Z18" s="226"/>
      <c r="AA18" s="226"/>
      <c r="AB18" s="226"/>
    </row>
    <row r="19" spans="1:28" hidden="1">
      <c r="A19" s="135"/>
      <c r="B19" s="146"/>
      <c r="C19" s="146"/>
      <c r="D19" s="146"/>
      <c r="E19" s="146"/>
      <c r="F19" s="146"/>
      <c r="G19" s="98"/>
      <c r="H19" s="147"/>
      <c r="I19" s="147"/>
      <c r="J19" s="148"/>
      <c r="K19" s="146"/>
      <c r="L19" s="146"/>
      <c r="M19" s="146"/>
      <c r="N19" s="146"/>
      <c r="O19" s="149"/>
      <c r="P19" s="181"/>
      <c r="Q19" s="149"/>
      <c r="R19" s="149"/>
      <c r="S19" s="98"/>
      <c r="T19" s="149"/>
      <c r="U19" s="226"/>
      <c r="V19" s="226"/>
      <c r="W19" s="226"/>
      <c r="X19" s="226"/>
      <c r="Y19" s="226"/>
      <c r="Z19" s="226"/>
      <c r="AA19" s="226"/>
      <c r="AB19" s="226"/>
    </row>
    <row r="20" spans="1:28" hidden="1">
      <c r="A20" s="135"/>
      <c r="B20" s="146"/>
      <c r="C20" s="146"/>
      <c r="D20" s="146"/>
      <c r="E20" s="146"/>
      <c r="F20" s="146"/>
      <c r="G20" s="98"/>
      <c r="H20" s="147"/>
      <c r="I20" s="147"/>
      <c r="J20" s="148"/>
      <c r="K20" s="146"/>
      <c r="L20" s="146"/>
      <c r="M20" s="146"/>
      <c r="N20" s="146"/>
      <c r="O20" s="149"/>
      <c r="P20" s="181"/>
      <c r="Q20" s="149"/>
      <c r="R20" s="149"/>
      <c r="S20" s="98"/>
      <c r="T20" s="149"/>
      <c r="U20" s="226"/>
      <c r="V20" s="226"/>
      <c r="W20" s="226"/>
      <c r="X20" s="226"/>
      <c r="Y20" s="226"/>
      <c r="Z20" s="226"/>
      <c r="AA20" s="226"/>
      <c r="AB20" s="226"/>
    </row>
    <row r="21" spans="1:28" hidden="1">
      <c r="A21" s="135"/>
      <c r="B21" s="146"/>
      <c r="C21" s="146"/>
      <c r="D21" s="146"/>
      <c r="E21" s="146"/>
      <c r="F21" s="146"/>
      <c r="G21" s="98"/>
      <c r="H21" s="147"/>
      <c r="I21" s="147"/>
      <c r="J21" s="148"/>
      <c r="K21" s="146"/>
      <c r="L21" s="146"/>
      <c r="M21" s="146"/>
      <c r="N21" s="146"/>
      <c r="O21" s="149"/>
      <c r="P21" s="181"/>
      <c r="Q21" s="149"/>
      <c r="R21" s="149"/>
      <c r="S21" s="98"/>
      <c r="T21" s="149"/>
      <c r="U21" s="226"/>
      <c r="V21" s="226"/>
      <c r="W21" s="226"/>
      <c r="X21" s="226"/>
      <c r="Y21" s="226"/>
      <c r="Z21" s="226"/>
      <c r="AA21" s="226"/>
      <c r="AB21" s="226"/>
    </row>
    <row r="22" spans="1:28" hidden="1">
      <c r="A22" s="135"/>
      <c r="B22" s="146"/>
      <c r="C22" s="146"/>
      <c r="D22" s="146"/>
      <c r="E22" s="146"/>
      <c r="F22" s="146"/>
      <c r="G22" s="98"/>
      <c r="H22" s="147"/>
      <c r="I22" s="147"/>
      <c r="J22" s="148"/>
      <c r="K22" s="146"/>
      <c r="L22" s="146"/>
      <c r="M22" s="146"/>
      <c r="N22" s="146"/>
      <c r="O22" s="149"/>
      <c r="P22" s="181"/>
      <c r="Q22" s="149"/>
      <c r="R22" s="149"/>
      <c r="S22" s="98"/>
      <c r="T22" s="149"/>
      <c r="U22" s="226"/>
      <c r="V22" s="226"/>
      <c r="W22" s="226"/>
      <c r="X22" s="226"/>
      <c r="Y22" s="226"/>
      <c r="Z22" s="226"/>
      <c r="AA22" s="226"/>
      <c r="AB22" s="226"/>
    </row>
    <row r="23" spans="1:28" hidden="1">
      <c r="A23" s="135"/>
      <c r="B23" s="146"/>
      <c r="C23" s="146"/>
      <c r="D23" s="146"/>
      <c r="E23" s="146"/>
      <c r="F23" s="146"/>
      <c r="G23" s="98"/>
      <c r="H23" s="147"/>
      <c r="I23" s="147"/>
      <c r="J23" s="148"/>
      <c r="K23" s="146"/>
      <c r="L23" s="146"/>
      <c r="M23" s="146"/>
      <c r="N23" s="146"/>
      <c r="O23" s="149"/>
      <c r="P23" s="181"/>
      <c r="Q23" s="149"/>
      <c r="R23" s="149"/>
      <c r="S23" s="98"/>
      <c r="T23" s="149"/>
      <c r="U23" s="226"/>
      <c r="V23" s="226"/>
      <c r="W23" s="226"/>
      <c r="X23" s="226"/>
      <c r="Y23" s="226"/>
      <c r="Z23" s="226"/>
      <c r="AA23" s="226"/>
      <c r="AB23" s="226"/>
    </row>
    <row r="24" spans="1:28" hidden="1">
      <c r="A24" s="135"/>
      <c r="B24" s="146"/>
      <c r="C24" s="146"/>
      <c r="D24" s="146"/>
      <c r="E24" s="146"/>
      <c r="F24" s="146"/>
      <c r="G24" s="98"/>
      <c r="H24" s="147"/>
      <c r="I24" s="147"/>
      <c r="J24" s="148"/>
      <c r="K24" s="146"/>
      <c r="L24" s="146"/>
      <c r="M24" s="146"/>
      <c r="N24" s="146"/>
      <c r="O24" s="149"/>
      <c r="P24" s="181"/>
      <c r="Q24" s="149"/>
      <c r="R24" s="149"/>
      <c r="S24" s="98"/>
      <c r="T24" s="149"/>
      <c r="U24" s="226"/>
      <c r="V24" s="226"/>
      <c r="W24" s="226"/>
      <c r="X24" s="226"/>
      <c r="Y24" s="226"/>
      <c r="Z24" s="226"/>
      <c r="AA24" s="226"/>
      <c r="AB24" s="226"/>
    </row>
    <row r="25" spans="1:28" hidden="1">
      <c r="A25" s="135"/>
      <c r="B25" s="146"/>
      <c r="C25" s="146"/>
      <c r="D25" s="146"/>
      <c r="E25" s="146"/>
      <c r="F25" s="146"/>
      <c r="G25" s="98"/>
      <c r="H25" s="147"/>
      <c r="I25" s="147"/>
      <c r="J25" s="148"/>
      <c r="K25" s="146"/>
      <c r="L25" s="146"/>
      <c r="M25" s="146"/>
      <c r="N25" s="146"/>
      <c r="O25" s="149"/>
      <c r="P25" s="181"/>
      <c r="Q25" s="149"/>
      <c r="R25" s="149"/>
      <c r="S25" s="98"/>
      <c r="T25" s="149"/>
      <c r="U25" s="226"/>
      <c r="V25" s="226"/>
      <c r="W25" s="226"/>
      <c r="X25" s="226"/>
      <c r="Y25" s="226"/>
      <c r="Z25" s="226"/>
      <c r="AA25" s="226"/>
      <c r="AB25" s="226"/>
    </row>
    <row r="26" spans="1:28" hidden="1">
      <c r="A26" s="135"/>
      <c r="B26" s="146"/>
      <c r="C26" s="146"/>
      <c r="D26" s="146"/>
      <c r="E26" s="146"/>
      <c r="F26" s="146"/>
      <c r="G26" s="98"/>
      <c r="H26" s="147"/>
      <c r="I26" s="147"/>
      <c r="J26" s="148"/>
      <c r="K26" s="146"/>
      <c r="L26" s="146"/>
      <c r="M26" s="146"/>
      <c r="N26" s="146"/>
      <c r="O26" s="149"/>
      <c r="P26" s="181"/>
      <c r="Q26" s="149"/>
      <c r="R26" s="149"/>
      <c r="S26" s="98"/>
      <c r="T26" s="149"/>
    </row>
    <row r="27" spans="1:28">
      <c r="A27" s="135"/>
      <c r="B27" s="146"/>
      <c r="C27" s="146"/>
      <c r="D27" s="146"/>
      <c r="E27" s="146"/>
      <c r="F27" s="146"/>
      <c r="G27" s="98"/>
      <c r="H27" s="147"/>
      <c r="I27" s="147"/>
      <c r="J27" s="148"/>
      <c r="K27" s="146"/>
      <c r="L27" s="146"/>
      <c r="M27" s="146"/>
      <c r="N27" s="146"/>
      <c r="O27" s="149"/>
      <c r="P27" s="181"/>
      <c r="Q27" s="149"/>
      <c r="R27" s="149"/>
      <c r="S27" s="98"/>
      <c r="T27" s="149"/>
    </row>
    <row r="28" spans="1:28">
      <c r="A28" s="135"/>
      <c r="B28" s="146"/>
      <c r="C28" s="146"/>
      <c r="D28" s="146"/>
      <c r="E28" s="146"/>
      <c r="F28" s="146"/>
      <c r="G28" s="98"/>
      <c r="H28" s="147"/>
      <c r="I28" s="147"/>
      <c r="J28" s="148"/>
      <c r="K28" s="146"/>
      <c r="L28" s="146"/>
      <c r="M28" s="146"/>
      <c r="N28" s="146"/>
      <c r="O28" s="149"/>
      <c r="P28" s="181"/>
      <c r="Q28" s="149"/>
      <c r="R28" s="149"/>
      <c r="S28" s="98"/>
      <c r="T28" s="149"/>
    </row>
    <row r="29" spans="1:28">
      <c r="A29" s="135"/>
      <c r="B29" s="146"/>
      <c r="C29" s="146"/>
      <c r="D29" s="146"/>
      <c r="E29" s="146"/>
      <c r="F29" s="146"/>
      <c r="G29" s="98"/>
      <c r="H29" s="147"/>
      <c r="I29" s="147"/>
      <c r="J29" s="148"/>
      <c r="K29" s="146"/>
      <c r="L29" s="146"/>
      <c r="M29" s="146"/>
      <c r="N29" s="146"/>
      <c r="O29" s="149"/>
      <c r="P29" s="181"/>
      <c r="Q29" s="149"/>
      <c r="R29" s="149"/>
      <c r="S29" s="98"/>
      <c r="T29" s="149"/>
    </row>
    <row r="30" spans="1:28" ht="15.75" thickBot="1">
      <c r="O30" s="150"/>
      <c r="P30" s="150"/>
      <c r="Q30" s="150"/>
      <c r="R30" s="150"/>
    </row>
    <row r="31" spans="1:28">
      <c r="A31" s="136" t="s">
        <v>9</v>
      </c>
      <c r="B31" s="59">
        <f>+AVERAGE(B6:B29)</f>
        <v>1391.8333333333333</v>
      </c>
      <c r="C31" s="59">
        <f t="shared" ref="C31:D31" si="10">+AVERAGE(C6:C29)</f>
        <v>650225.1</v>
      </c>
      <c r="D31" s="59">
        <f t="shared" si="10"/>
        <v>6306</v>
      </c>
      <c r="E31" s="59"/>
      <c r="F31" s="59"/>
      <c r="G31" s="59">
        <f>+AVERAGE(G6:G29)</f>
        <v>469.62608456360499</v>
      </c>
      <c r="H31" s="197">
        <f>+AVERAGE(H6:H29)</f>
        <v>4.6164323111261192</v>
      </c>
      <c r="I31" s="197"/>
      <c r="J31" s="138"/>
      <c r="K31" s="59">
        <f>+AVERAGE(K6:K29)</f>
        <v>650225.1</v>
      </c>
      <c r="L31" s="59">
        <f>+AVERAGE(L6:L29)</f>
        <v>62946.491999999998</v>
      </c>
      <c r="M31" s="59"/>
      <c r="N31" s="59"/>
      <c r="O31" s="283">
        <f>+AVERAGE(O6:O29)</f>
        <v>2.1338524469132593E-3</v>
      </c>
      <c r="P31" s="140"/>
      <c r="Q31" s="140"/>
      <c r="R31" s="140"/>
      <c r="S31" s="59">
        <f>+AVERAGE(S6:S29)</f>
        <v>762639.24536355503</v>
      </c>
      <c r="T31" s="59">
        <f>+AVERAGE(T6:T29)</f>
        <v>551.34238188981817</v>
      </c>
    </row>
    <row r="32" spans="1:28">
      <c r="A32" s="137" t="s">
        <v>23</v>
      </c>
      <c r="B32" s="60">
        <f>+MAX(B6:B29)</f>
        <v>1726</v>
      </c>
      <c r="C32" s="60">
        <f t="shared" ref="C32:D32" si="11">+MAX(C6:C29)</f>
        <v>780657.88</v>
      </c>
      <c r="D32" s="60">
        <f t="shared" si="11"/>
        <v>8540</v>
      </c>
      <c r="E32" s="60"/>
      <c r="F32" s="60"/>
      <c r="G32" s="60">
        <f>+MAX(G6:G29)</f>
        <v>515.50184848484844</v>
      </c>
      <c r="H32" s="198">
        <f>+MAX(H6:H29)</f>
        <v>6.6222222222222218</v>
      </c>
      <c r="I32" s="198"/>
      <c r="J32" s="139"/>
      <c r="K32" s="60">
        <f>+MAX(K6:K29)</f>
        <v>780657.88</v>
      </c>
      <c r="L32" s="60">
        <f>+MAX(L6:L29)</f>
        <v>85246.280000000013</v>
      </c>
      <c r="M32" s="60"/>
      <c r="N32" s="60"/>
      <c r="O32" s="284">
        <f>+MAX(O6:O29)</f>
        <v>2.2833515539478406E-3</v>
      </c>
      <c r="P32" s="141"/>
      <c r="Q32" s="141"/>
      <c r="R32" s="141"/>
      <c r="S32" s="60">
        <f>+MAX(S6:S29)</f>
        <v>905175.05264000001</v>
      </c>
      <c r="T32" s="60">
        <f>+MAX(T6:T29)</f>
        <v>620.41557767325253</v>
      </c>
    </row>
    <row r="33" spans="1:20">
      <c r="A33" s="137" t="s">
        <v>24</v>
      </c>
      <c r="B33" s="60">
        <f>+MIN(B6:B29)</f>
        <v>855</v>
      </c>
      <c r="C33" s="60">
        <f t="shared" ref="C33:D33" si="12">+MIN(C6:C29)</f>
        <v>416692.83999999997</v>
      </c>
      <c r="D33" s="60">
        <f t="shared" si="12"/>
        <v>3931</v>
      </c>
      <c r="E33" s="60"/>
      <c r="F33" s="60"/>
      <c r="G33" s="60">
        <f>+MIN(G6:G29)</f>
        <v>437.95270959087861</v>
      </c>
      <c r="H33" s="198">
        <f>+MIN(H6:H29)</f>
        <v>3.0827218145430288</v>
      </c>
      <c r="I33" s="198"/>
      <c r="J33" s="139"/>
      <c r="K33" s="60">
        <f>+MIN(K6:K29)</f>
        <v>416692.83999999997</v>
      </c>
      <c r="L33" s="60">
        <f>+MIN(L6:L29)</f>
        <v>39239.242000000006</v>
      </c>
      <c r="M33" s="60"/>
      <c r="N33" s="60"/>
      <c r="O33" s="284">
        <f>+MIN(O6:O29)</f>
        <v>1.9398572535465736E-3</v>
      </c>
      <c r="P33" s="141"/>
      <c r="Q33" s="141"/>
      <c r="R33" s="141"/>
      <c r="S33" s="60">
        <f>+MIN(S6:S29)</f>
        <v>490301.43850032502</v>
      </c>
      <c r="T33" s="60">
        <f>+MIN(T6:T29)</f>
        <v>508.86100672027067</v>
      </c>
    </row>
    <row r="36" spans="1:20">
      <c r="A36" s="145" t="s">
        <v>87</v>
      </c>
      <c r="B36" s="145" t="s">
        <v>88</v>
      </c>
      <c r="C36" s="145" t="s">
        <v>9</v>
      </c>
      <c r="D36" s="145" t="s">
        <v>23</v>
      </c>
      <c r="E36" s="145" t="s">
        <v>24</v>
      </c>
    </row>
    <row r="37" spans="1:20">
      <c r="A37" s="142" t="s">
        <v>89</v>
      </c>
      <c r="B37" s="143" t="str">
        <f>+G5</f>
        <v>kWh/Ton</v>
      </c>
      <c r="C37" s="144">
        <f>+G31</f>
        <v>469.62608456360499</v>
      </c>
      <c r="D37" s="144">
        <f>+G32</f>
        <v>515.50184848484844</v>
      </c>
      <c r="E37" s="144">
        <f>+G33</f>
        <v>437.95270959087861</v>
      </c>
    </row>
    <row r="38" spans="1:20">
      <c r="A38" s="142" t="s">
        <v>90</v>
      </c>
      <c r="B38" s="143" t="str">
        <f>+H5</f>
        <v>m3/Ton</v>
      </c>
      <c r="C38" s="144">
        <f>+H31</f>
        <v>4.6164323111261192</v>
      </c>
      <c r="D38" s="144">
        <f>+H32</f>
        <v>6.6222222222222218</v>
      </c>
      <c r="E38" s="144">
        <f>+H33</f>
        <v>3.0827218145430288</v>
      </c>
    </row>
    <row r="39" spans="1:20">
      <c r="A39" s="142" t="s">
        <v>91</v>
      </c>
      <c r="B39" s="143" t="str">
        <f>+O5</f>
        <v>kg/kWh E.E</v>
      </c>
      <c r="C39" s="282">
        <f>+O31</f>
        <v>2.1338524469132593E-3</v>
      </c>
      <c r="D39" s="144">
        <f>+O32</f>
        <v>2.2833515539478406E-3</v>
      </c>
      <c r="E39" s="144">
        <f>+O33</f>
        <v>1.9398572535465736E-3</v>
      </c>
    </row>
    <row r="40" spans="1:20">
      <c r="A40" s="142" t="s">
        <v>92</v>
      </c>
      <c r="B40" s="143" t="str">
        <f>+P5</f>
        <v>kg/kWh E.E</v>
      </c>
      <c r="C40" s="144">
        <f>+P31</f>
        <v>0</v>
      </c>
      <c r="D40" s="199">
        <f>+P32</f>
        <v>0</v>
      </c>
      <c r="E40" s="199">
        <f>+P33</f>
        <v>0</v>
      </c>
    </row>
    <row r="41" spans="1:20">
      <c r="A41" s="142" t="s">
        <v>93</v>
      </c>
      <c r="B41" s="143" t="str">
        <f>+T5</f>
        <v>kWh/Ton TOTAL</v>
      </c>
      <c r="C41" s="144">
        <f>+T31</f>
        <v>551.34238188981817</v>
      </c>
      <c r="D41" s="144">
        <f>+T32</f>
        <v>620.41557767325253</v>
      </c>
      <c r="E41" s="144">
        <f>+T33</f>
        <v>508.86100672027067</v>
      </c>
    </row>
  </sheetData>
  <mergeCells count="14">
    <mergeCell ref="P1:T2"/>
    <mergeCell ref="O1:O2"/>
    <mergeCell ref="B3:B4"/>
    <mergeCell ref="C3:C4"/>
    <mergeCell ref="D3:D4"/>
    <mergeCell ref="U3:AB3"/>
    <mergeCell ref="A3:A5"/>
    <mergeCell ref="L3:L4"/>
    <mergeCell ref="M3:M4"/>
    <mergeCell ref="N3:N4"/>
    <mergeCell ref="K3:K4"/>
    <mergeCell ref="G3:J3"/>
    <mergeCell ref="E3:E4"/>
    <mergeCell ref="F3:F4"/>
  </mergeCells>
  <pageMargins left="0.7" right="0.7" top="0.75" bottom="0.75" header="0.3" footer="0.3"/>
  <pageSetup orientation="portrait" r:id="rId1"/>
  <ignoredErrors>
    <ignoredError sqref="C7:C17 C3:D5 G4:H4 O4 K3:L5 B3 B31:D33 G31:H33 O31:O33 S31:T33 K31:L33 C6" unlockedFormula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N1555"/>
  <sheetViews>
    <sheetView topLeftCell="F1" zoomScale="90" zoomScaleNormal="90" workbookViewId="0">
      <selection activeCell="M2" sqref="M2"/>
    </sheetView>
  </sheetViews>
  <sheetFormatPr defaultColWidth="27.42578125" defaultRowHeight="11.25" customHeight="1"/>
  <cols>
    <col min="1" max="1" width="21.42578125" style="111" customWidth="1"/>
    <col min="2" max="2" width="20.28515625" style="286" customWidth="1"/>
    <col min="3" max="3" width="43" style="111" bestFit="1" customWidth="1"/>
    <col min="4" max="4" width="11.5703125" style="111" customWidth="1"/>
    <col min="5" max="5" width="11.28515625" style="111" customWidth="1"/>
    <col min="6" max="6" width="10.28515625" style="111" customWidth="1"/>
    <col min="7" max="7" width="17.28515625" style="111" customWidth="1"/>
    <col min="8" max="8" width="23" style="111" customWidth="1"/>
    <col min="9" max="9" width="18.5703125" style="111" customWidth="1"/>
    <col min="10" max="10" width="1.7109375" style="120" customWidth="1"/>
    <col min="11" max="11" width="12" style="111" customWidth="1"/>
    <col min="12" max="12" width="20" style="111" customWidth="1"/>
    <col min="13" max="13" width="19.28515625" style="111" customWidth="1"/>
    <col min="14" max="16384" width="27.42578125" style="111"/>
  </cols>
  <sheetData>
    <row r="1" spans="1:14" ht="33" customHeight="1">
      <c r="A1" s="134" t="s">
        <v>4</v>
      </c>
      <c r="B1" s="285" t="s">
        <v>0</v>
      </c>
      <c r="C1" s="134" t="s">
        <v>19</v>
      </c>
      <c r="D1" s="134" t="s">
        <v>1</v>
      </c>
      <c r="E1" s="285" t="s">
        <v>111</v>
      </c>
      <c r="F1" s="134" t="s">
        <v>20</v>
      </c>
      <c r="G1" s="134" t="s">
        <v>21</v>
      </c>
      <c r="H1" s="134" t="s">
        <v>2</v>
      </c>
      <c r="I1" s="134" t="s">
        <v>3</v>
      </c>
      <c r="J1" s="111"/>
      <c r="K1" s="358" t="s">
        <v>112</v>
      </c>
      <c r="L1" s="359"/>
      <c r="M1" s="200">
        <v>30</v>
      </c>
    </row>
    <row r="2" spans="1:14" ht="18" customHeight="1">
      <c r="A2" s="201" t="s">
        <v>210</v>
      </c>
      <c r="B2" s="203">
        <v>101</v>
      </c>
      <c r="C2" s="202" t="s">
        <v>197</v>
      </c>
      <c r="D2" s="203">
        <f>+E2*0.00134</f>
        <v>423.65440000000001</v>
      </c>
      <c r="E2" s="203">
        <v>316160</v>
      </c>
      <c r="F2" s="203">
        <v>1</v>
      </c>
      <c r="G2" s="203">
        <f>+E2/1000</f>
        <v>316.16000000000003</v>
      </c>
      <c r="H2" s="288">
        <f>+N2/30</f>
        <v>15.166666666666666</v>
      </c>
      <c r="I2" s="117">
        <f>G2*H2</f>
        <v>4795.0933333333332</v>
      </c>
      <c r="J2" s="286"/>
      <c r="K2" s="340" t="s">
        <v>113</v>
      </c>
      <c r="L2" s="342"/>
      <c r="M2" s="289">
        <f>'CONSUMOS Y PRODUCCIÓN'!F29</f>
        <v>650225.1</v>
      </c>
      <c r="N2" s="286">
        <v>455</v>
      </c>
    </row>
    <row r="3" spans="1:14" ht="16.5" customHeight="1">
      <c r="A3" s="201" t="s">
        <v>210</v>
      </c>
      <c r="B3" s="203">
        <v>102</v>
      </c>
      <c r="C3" s="202" t="s">
        <v>197</v>
      </c>
      <c r="D3" s="203">
        <f t="shared" ref="D3:D42" si="0">+E3*0.00134</f>
        <v>142.84399999999999</v>
      </c>
      <c r="E3" s="203">
        <v>106600</v>
      </c>
      <c r="F3" s="203">
        <v>1</v>
      </c>
      <c r="G3" s="203">
        <f t="shared" ref="G3:G42" si="1">+E3/1000</f>
        <v>106.6</v>
      </c>
      <c r="H3" s="288">
        <f t="shared" ref="H3:H42" si="2">+N3/30</f>
        <v>15.566666666666666</v>
      </c>
      <c r="I3" s="117">
        <f t="shared" ref="I3:I42" si="3">G3*H3</f>
        <v>1659.4066666666665</v>
      </c>
      <c r="J3" s="286"/>
      <c r="K3" s="358" t="s">
        <v>114</v>
      </c>
      <c r="L3" s="359"/>
      <c r="M3" s="118">
        <f>((SUM(I2:I1000)*$M$1)-$M$2)/(SUM(I2:I1000)*$M$1)</f>
        <v>0.42271764311690618</v>
      </c>
      <c r="N3" s="286">
        <v>467</v>
      </c>
    </row>
    <row r="4" spans="1:14" s="119" customFormat="1" ht="15" customHeight="1">
      <c r="A4" s="201" t="s">
        <v>210</v>
      </c>
      <c r="B4" s="203">
        <v>106</v>
      </c>
      <c r="C4" s="202" t="s">
        <v>197</v>
      </c>
      <c r="D4" s="203">
        <f t="shared" si="0"/>
        <v>515.36400000000003</v>
      </c>
      <c r="E4" s="203">
        <v>384600</v>
      </c>
      <c r="F4" s="203">
        <v>1</v>
      </c>
      <c r="G4" s="203">
        <f t="shared" si="1"/>
        <v>384.6</v>
      </c>
      <c r="H4" s="288">
        <f t="shared" si="2"/>
        <v>15.366666666666667</v>
      </c>
      <c r="I4" s="117">
        <f t="shared" si="3"/>
        <v>5910.02</v>
      </c>
      <c r="J4" s="286"/>
      <c r="K4" s="372" t="s">
        <v>115</v>
      </c>
      <c r="L4" s="371" t="s">
        <v>116</v>
      </c>
      <c r="M4" s="371"/>
      <c r="N4" s="287">
        <v>461</v>
      </c>
    </row>
    <row r="5" spans="1:14" ht="16.5" customHeight="1">
      <c r="A5" s="201" t="s">
        <v>211</v>
      </c>
      <c r="B5" s="203">
        <v>122</v>
      </c>
      <c r="C5" s="202" t="s">
        <v>197</v>
      </c>
      <c r="D5" s="203">
        <f t="shared" si="0"/>
        <v>105.19</v>
      </c>
      <c r="E5" s="203">
        <v>78500</v>
      </c>
      <c r="F5" s="203">
        <v>1</v>
      </c>
      <c r="G5" s="203">
        <f t="shared" si="1"/>
        <v>78.5</v>
      </c>
      <c r="H5" s="288">
        <f t="shared" si="2"/>
        <v>15.166666666666666</v>
      </c>
      <c r="I5" s="117">
        <f t="shared" si="3"/>
        <v>1190.5833333333333</v>
      </c>
      <c r="J5" s="286"/>
      <c r="K5" s="372"/>
      <c r="L5" s="371"/>
      <c r="M5" s="371"/>
      <c r="N5" s="286">
        <v>455</v>
      </c>
    </row>
    <row r="6" spans="1:14" ht="15.75">
      <c r="A6" s="201" t="s">
        <v>210</v>
      </c>
      <c r="B6" s="203">
        <v>125</v>
      </c>
      <c r="C6" s="202" t="s">
        <v>197</v>
      </c>
      <c r="D6" s="203">
        <f t="shared" si="0"/>
        <v>171.386</v>
      </c>
      <c r="E6" s="203">
        <v>127900</v>
      </c>
      <c r="F6" s="203">
        <v>1</v>
      </c>
      <c r="G6" s="203">
        <f t="shared" si="1"/>
        <v>127.9</v>
      </c>
      <c r="H6" s="288">
        <f t="shared" si="2"/>
        <v>15.733333333333333</v>
      </c>
      <c r="I6" s="117">
        <f t="shared" si="3"/>
        <v>2012.2933333333333</v>
      </c>
      <c r="J6" s="286"/>
      <c r="N6" s="286">
        <v>472</v>
      </c>
    </row>
    <row r="7" spans="1:14" ht="15.75">
      <c r="A7" s="201" t="s">
        <v>210</v>
      </c>
      <c r="B7" s="203">
        <v>127</v>
      </c>
      <c r="C7" s="202" t="s">
        <v>197</v>
      </c>
      <c r="D7" s="203">
        <f t="shared" si="0"/>
        <v>140.834</v>
      </c>
      <c r="E7" s="203">
        <v>105100</v>
      </c>
      <c r="F7" s="203">
        <v>1</v>
      </c>
      <c r="G7" s="203">
        <f t="shared" si="1"/>
        <v>105.1</v>
      </c>
      <c r="H7" s="288">
        <f t="shared" si="2"/>
        <v>15.566666666666666</v>
      </c>
      <c r="I7" s="117">
        <f t="shared" si="3"/>
        <v>1636.0566666666666</v>
      </c>
      <c r="J7" s="286"/>
      <c r="N7" s="286">
        <v>467</v>
      </c>
    </row>
    <row r="8" spans="1:14" ht="15.75">
      <c r="A8" s="201" t="s">
        <v>210</v>
      </c>
      <c r="B8" s="203">
        <v>128</v>
      </c>
      <c r="C8" s="202" t="s">
        <v>197</v>
      </c>
      <c r="D8" s="203">
        <f t="shared" si="0"/>
        <v>129.042</v>
      </c>
      <c r="E8" s="203">
        <v>96300</v>
      </c>
      <c r="F8" s="203">
        <v>1</v>
      </c>
      <c r="G8" s="203">
        <f t="shared" si="1"/>
        <v>96.3</v>
      </c>
      <c r="H8" s="288">
        <f t="shared" si="2"/>
        <v>15.166666666666666</v>
      </c>
      <c r="I8" s="117">
        <f t="shared" si="3"/>
        <v>1460.55</v>
      </c>
      <c r="J8" s="286"/>
      <c r="N8" s="286">
        <v>455</v>
      </c>
    </row>
    <row r="9" spans="1:14" ht="15.75">
      <c r="A9" s="201" t="s">
        <v>212</v>
      </c>
      <c r="B9" s="203">
        <v>130</v>
      </c>
      <c r="C9" s="202" t="s">
        <v>198</v>
      </c>
      <c r="D9" s="203">
        <f t="shared" si="0"/>
        <v>142.84399999999999</v>
      </c>
      <c r="E9" s="203">
        <v>106600</v>
      </c>
      <c r="F9" s="203">
        <v>1</v>
      </c>
      <c r="G9" s="203">
        <f t="shared" si="1"/>
        <v>106.6</v>
      </c>
      <c r="H9" s="288">
        <f t="shared" si="2"/>
        <v>16.5</v>
      </c>
      <c r="I9" s="117">
        <f t="shared" si="3"/>
        <v>1758.8999999999999</v>
      </c>
      <c r="J9" s="286"/>
      <c r="N9" s="286">
        <v>495</v>
      </c>
    </row>
    <row r="10" spans="1:14" ht="15.75">
      <c r="A10" s="201" t="s">
        <v>212</v>
      </c>
      <c r="B10" s="203">
        <v>205</v>
      </c>
      <c r="C10" s="202" t="s">
        <v>198</v>
      </c>
      <c r="D10" s="203">
        <f t="shared" si="0"/>
        <v>31.490000000000002</v>
      </c>
      <c r="E10" s="203">
        <v>23500</v>
      </c>
      <c r="F10" s="203">
        <v>1</v>
      </c>
      <c r="G10" s="203">
        <f t="shared" si="1"/>
        <v>23.5</v>
      </c>
      <c r="H10" s="288">
        <f t="shared" si="2"/>
        <v>15.366666666666667</v>
      </c>
      <c r="I10" s="117">
        <f t="shared" si="3"/>
        <v>361.11666666666667</v>
      </c>
      <c r="J10" s="286"/>
      <c r="N10" s="286">
        <v>461</v>
      </c>
    </row>
    <row r="11" spans="1:14" ht="15.75">
      <c r="A11" s="201" t="s">
        <v>212</v>
      </c>
      <c r="B11" s="203">
        <v>208</v>
      </c>
      <c r="C11" s="202" t="s">
        <v>198</v>
      </c>
      <c r="D11" s="203">
        <f t="shared" si="0"/>
        <v>20.368000000000002</v>
      </c>
      <c r="E11" s="203">
        <v>15200</v>
      </c>
      <c r="F11" s="203">
        <v>1</v>
      </c>
      <c r="G11" s="203">
        <f t="shared" si="1"/>
        <v>15.2</v>
      </c>
      <c r="H11" s="288">
        <f t="shared" si="2"/>
        <v>13.233333333333333</v>
      </c>
      <c r="I11" s="117">
        <f t="shared" si="3"/>
        <v>201.14666666666665</v>
      </c>
      <c r="J11" s="286"/>
      <c r="N11" s="286">
        <v>397</v>
      </c>
    </row>
    <row r="12" spans="1:14" ht="15.75">
      <c r="A12" s="201" t="s">
        <v>212</v>
      </c>
      <c r="B12" s="203">
        <v>209</v>
      </c>
      <c r="C12" s="202" t="s">
        <v>198</v>
      </c>
      <c r="D12" s="203">
        <f t="shared" si="0"/>
        <v>53.064</v>
      </c>
      <c r="E12" s="203">
        <v>39600</v>
      </c>
      <c r="F12" s="203">
        <v>1</v>
      </c>
      <c r="G12" s="203">
        <f t="shared" si="1"/>
        <v>39.6</v>
      </c>
      <c r="H12" s="288">
        <f t="shared" si="2"/>
        <v>15.933333333333334</v>
      </c>
      <c r="I12" s="117">
        <f t="shared" si="3"/>
        <v>630.96</v>
      </c>
      <c r="J12" s="286"/>
      <c r="N12" s="286">
        <v>478</v>
      </c>
    </row>
    <row r="13" spans="1:14" ht="15.75">
      <c r="A13" s="201" t="s">
        <v>212</v>
      </c>
      <c r="B13" s="203" t="s">
        <v>199</v>
      </c>
      <c r="C13" s="202" t="s">
        <v>198</v>
      </c>
      <c r="D13" s="203">
        <f t="shared" si="0"/>
        <v>0.93800000000000006</v>
      </c>
      <c r="E13" s="203">
        <v>700</v>
      </c>
      <c r="F13" s="203">
        <v>1</v>
      </c>
      <c r="G13" s="203">
        <f t="shared" si="1"/>
        <v>0.7</v>
      </c>
      <c r="H13" s="288">
        <f t="shared" si="2"/>
        <v>13.066666666666666</v>
      </c>
      <c r="I13" s="117">
        <f t="shared" si="3"/>
        <v>9.1466666666666665</v>
      </c>
      <c r="J13" s="286"/>
      <c r="N13" s="286">
        <v>392</v>
      </c>
    </row>
    <row r="14" spans="1:14" ht="15.75">
      <c r="A14" s="201" t="s">
        <v>212</v>
      </c>
      <c r="B14" s="203">
        <v>211</v>
      </c>
      <c r="C14" s="202" t="s">
        <v>198</v>
      </c>
      <c r="D14" s="203">
        <f t="shared" si="0"/>
        <v>10.184000000000001</v>
      </c>
      <c r="E14" s="203">
        <v>7600</v>
      </c>
      <c r="F14" s="203">
        <v>1</v>
      </c>
      <c r="G14" s="203">
        <f t="shared" si="1"/>
        <v>7.6</v>
      </c>
      <c r="H14" s="288">
        <f t="shared" si="2"/>
        <v>13.833333333333334</v>
      </c>
      <c r="I14" s="117">
        <f t="shared" si="3"/>
        <v>105.13333333333334</v>
      </c>
      <c r="J14" s="286"/>
      <c r="N14" s="286">
        <v>415</v>
      </c>
    </row>
    <row r="15" spans="1:14" ht="15.75">
      <c r="A15" s="201" t="s">
        <v>212</v>
      </c>
      <c r="B15" s="203">
        <v>215</v>
      </c>
      <c r="C15" s="202" t="s">
        <v>198</v>
      </c>
      <c r="D15" s="203">
        <f t="shared" si="0"/>
        <v>15.544</v>
      </c>
      <c r="E15" s="203">
        <v>11600</v>
      </c>
      <c r="F15" s="203">
        <v>1</v>
      </c>
      <c r="G15" s="203">
        <f t="shared" si="1"/>
        <v>11.6</v>
      </c>
      <c r="H15" s="288">
        <f t="shared" si="2"/>
        <v>14.2</v>
      </c>
      <c r="I15" s="117">
        <f t="shared" si="3"/>
        <v>164.72</v>
      </c>
      <c r="J15" s="286"/>
      <c r="N15" s="286">
        <v>426</v>
      </c>
    </row>
    <row r="16" spans="1:14" ht="15.75">
      <c r="A16" s="201" t="s">
        <v>212</v>
      </c>
      <c r="B16" s="203">
        <v>217</v>
      </c>
      <c r="C16" s="202" t="s">
        <v>198</v>
      </c>
      <c r="D16" s="203">
        <f t="shared" si="0"/>
        <v>15.544</v>
      </c>
      <c r="E16" s="203">
        <v>11600</v>
      </c>
      <c r="F16" s="203">
        <v>1</v>
      </c>
      <c r="G16" s="203">
        <f t="shared" si="1"/>
        <v>11.6</v>
      </c>
      <c r="H16" s="288">
        <f t="shared" si="2"/>
        <v>14</v>
      </c>
      <c r="I16" s="117">
        <f t="shared" si="3"/>
        <v>162.4</v>
      </c>
      <c r="J16" s="286"/>
      <c r="N16" s="286">
        <v>420</v>
      </c>
    </row>
    <row r="17" spans="1:14" ht="15.75">
      <c r="A17" s="201" t="s">
        <v>212</v>
      </c>
      <c r="B17" s="203">
        <v>230</v>
      </c>
      <c r="C17" s="202" t="s">
        <v>198</v>
      </c>
      <c r="D17" s="203">
        <f t="shared" si="0"/>
        <v>33.366</v>
      </c>
      <c r="E17" s="203">
        <v>24900</v>
      </c>
      <c r="F17" s="203">
        <v>1</v>
      </c>
      <c r="G17" s="203">
        <f t="shared" si="1"/>
        <v>24.9</v>
      </c>
      <c r="H17" s="288">
        <f t="shared" si="2"/>
        <v>13.233333333333333</v>
      </c>
      <c r="I17" s="117">
        <f t="shared" si="3"/>
        <v>329.50999999999993</v>
      </c>
      <c r="J17" s="286"/>
      <c r="N17" s="286">
        <v>397</v>
      </c>
    </row>
    <row r="18" spans="1:14" ht="15.75">
      <c r="A18" s="201" t="s">
        <v>212</v>
      </c>
      <c r="B18" s="203">
        <v>235</v>
      </c>
      <c r="C18" s="202" t="s">
        <v>198</v>
      </c>
      <c r="D18" s="203">
        <f t="shared" si="0"/>
        <v>58.423999999999999</v>
      </c>
      <c r="E18" s="203">
        <v>43600</v>
      </c>
      <c r="F18" s="203">
        <v>1</v>
      </c>
      <c r="G18" s="203">
        <f t="shared" si="1"/>
        <v>43.6</v>
      </c>
      <c r="H18" s="288">
        <f t="shared" si="2"/>
        <v>15.366666666666667</v>
      </c>
      <c r="I18" s="117">
        <f t="shared" si="3"/>
        <v>669.98666666666668</v>
      </c>
      <c r="J18" s="286"/>
      <c r="N18" s="286">
        <v>461</v>
      </c>
    </row>
    <row r="19" spans="1:14" ht="15.75">
      <c r="A19" s="201" t="s">
        <v>212</v>
      </c>
      <c r="B19" s="203" t="s">
        <v>200</v>
      </c>
      <c r="C19" s="202" t="s">
        <v>198</v>
      </c>
      <c r="D19" s="203">
        <f t="shared" si="0"/>
        <v>13.936</v>
      </c>
      <c r="E19" s="203">
        <v>10400</v>
      </c>
      <c r="F19" s="203">
        <v>1</v>
      </c>
      <c r="G19" s="203">
        <f t="shared" si="1"/>
        <v>10.4</v>
      </c>
      <c r="H19" s="288">
        <f t="shared" si="2"/>
        <v>15.733333333333333</v>
      </c>
      <c r="I19" s="117">
        <f t="shared" si="3"/>
        <v>163.62666666666667</v>
      </c>
      <c r="J19" s="286"/>
      <c r="N19" s="286">
        <v>472</v>
      </c>
    </row>
    <row r="20" spans="1:14" ht="15.75">
      <c r="A20" s="201" t="s">
        <v>212</v>
      </c>
      <c r="B20" s="203">
        <v>237</v>
      </c>
      <c r="C20" s="202" t="s">
        <v>198</v>
      </c>
      <c r="D20" s="203">
        <f t="shared" si="0"/>
        <v>20.234000000000002</v>
      </c>
      <c r="E20" s="203">
        <v>15100</v>
      </c>
      <c r="F20" s="203">
        <v>1</v>
      </c>
      <c r="G20" s="203">
        <f t="shared" si="1"/>
        <v>15.1</v>
      </c>
      <c r="H20" s="288">
        <f t="shared" si="2"/>
        <v>16.133333333333333</v>
      </c>
      <c r="I20" s="117">
        <f t="shared" si="3"/>
        <v>243.61333333333332</v>
      </c>
      <c r="J20" s="286"/>
      <c r="N20" s="286">
        <v>484</v>
      </c>
    </row>
    <row r="21" spans="1:14" ht="15.75">
      <c r="A21" s="201" t="s">
        <v>212</v>
      </c>
      <c r="B21" s="203">
        <v>238</v>
      </c>
      <c r="C21" s="202" t="s">
        <v>198</v>
      </c>
      <c r="D21" s="203">
        <f t="shared" si="0"/>
        <v>15.276</v>
      </c>
      <c r="E21" s="203">
        <v>11400</v>
      </c>
      <c r="F21" s="203">
        <v>1</v>
      </c>
      <c r="G21" s="203">
        <f t="shared" si="1"/>
        <v>11.4</v>
      </c>
      <c r="H21" s="288">
        <f t="shared" si="2"/>
        <v>15.566666666666666</v>
      </c>
      <c r="I21" s="117">
        <f t="shared" si="3"/>
        <v>177.46</v>
      </c>
      <c r="J21" s="286"/>
      <c r="N21" s="286">
        <v>467</v>
      </c>
    </row>
    <row r="22" spans="1:14" ht="15.75">
      <c r="A22" s="201" t="s">
        <v>212</v>
      </c>
      <c r="B22" s="203">
        <v>239</v>
      </c>
      <c r="C22" s="202" t="s">
        <v>198</v>
      </c>
      <c r="D22" s="203">
        <f t="shared" si="0"/>
        <v>72.896000000000001</v>
      </c>
      <c r="E22" s="203">
        <v>54400</v>
      </c>
      <c r="F22" s="203">
        <v>1</v>
      </c>
      <c r="G22" s="203">
        <f t="shared" si="1"/>
        <v>54.4</v>
      </c>
      <c r="H22" s="288">
        <f t="shared" si="2"/>
        <v>15.733333333333333</v>
      </c>
      <c r="I22" s="117">
        <f t="shared" si="3"/>
        <v>855.89333333333332</v>
      </c>
      <c r="J22" s="286"/>
      <c r="N22" s="286">
        <v>472</v>
      </c>
    </row>
    <row r="23" spans="1:14" ht="15.75">
      <c r="A23" s="201" t="s">
        <v>212</v>
      </c>
      <c r="B23" s="203" t="s">
        <v>201</v>
      </c>
      <c r="C23" s="202" t="s">
        <v>198</v>
      </c>
      <c r="D23" s="203">
        <f t="shared" si="0"/>
        <v>8.8439999999999994</v>
      </c>
      <c r="E23" s="203">
        <v>6600</v>
      </c>
      <c r="F23" s="203">
        <v>1</v>
      </c>
      <c r="G23" s="203">
        <f t="shared" si="1"/>
        <v>6.6</v>
      </c>
      <c r="H23" s="288">
        <f t="shared" si="2"/>
        <v>15.733333333333333</v>
      </c>
      <c r="I23" s="117">
        <f t="shared" si="3"/>
        <v>103.83999999999999</v>
      </c>
      <c r="J23" s="286"/>
      <c r="N23" s="286">
        <v>472</v>
      </c>
    </row>
    <row r="24" spans="1:14" ht="15.75">
      <c r="A24" s="201" t="s">
        <v>213</v>
      </c>
      <c r="B24" s="203">
        <v>301</v>
      </c>
      <c r="C24" s="202" t="s">
        <v>202</v>
      </c>
      <c r="D24" s="203">
        <f t="shared" si="0"/>
        <v>115.10600000000001</v>
      </c>
      <c r="E24" s="203">
        <v>85900</v>
      </c>
      <c r="F24" s="203">
        <v>1</v>
      </c>
      <c r="G24" s="203">
        <f t="shared" si="1"/>
        <v>85.9</v>
      </c>
      <c r="H24" s="288">
        <f t="shared" si="2"/>
        <v>15.566666666666666</v>
      </c>
      <c r="I24" s="117">
        <f t="shared" si="3"/>
        <v>1337.1766666666667</v>
      </c>
      <c r="J24" s="286"/>
      <c r="N24" s="286">
        <v>467</v>
      </c>
    </row>
    <row r="25" spans="1:14" ht="15.75">
      <c r="A25" s="201" t="s">
        <v>213</v>
      </c>
      <c r="B25" s="203">
        <v>302</v>
      </c>
      <c r="C25" s="202" t="s">
        <v>202</v>
      </c>
      <c r="D25" s="203">
        <f t="shared" si="0"/>
        <v>151.95600000000002</v>
      </c>
      <c r="E25" s="203">
        <v>113400</v>
      </c>
      <c r="F25" s="203">
        <v>1</v>
      </c>
      <c r="G25" s="203">
        <f t="shared" si="1"/>
        <v>113.4</v>
      </c>
      <c r="H25" s="288">
        <f t="shared" si="2"/>
        <v>15.933333333333334</v>
      </c>
      <c r="I25" s="117">
        <f t="shared" si="3"/>
        <v>1806.8400000000001</v>
      </c>
      <c r="J25" s="286"/>
      <c r="N25" s="286">
        <v>478</v>
      </c>
    </row>
    <row r="26" spans="1:14" ht="15.75">
      <c r="A26" s="201" t="s">
        <v>213</v>
      </c>
      <c r="B26" s="203">
        <v>303</v>
      </c>
      <c r="C26" s="202" t="s">
        <v>202</v>
      </c>
      <c r="D26" s="203">
        <f t="shared" si="0"/>
        <v>149.81200000000001</v>
      </c>
      <c r="E26" s="203">
        <v>111800</v>
      </c>
      <c r="F26" s="203">
        <v>1</v>
      </c>
      <c r="G26" s="203">
        <f t="shared" si="1"/>
        <v>111.8</v>
      </c>
      <c r="H26" s="288">
        <f t="shared" si="2"/>
        <v>14.966666666666667</v>
      </c>
      <c r="I26" s="117">
        <f t="shared" si="3"/>
        <v>1673.2733333333333</v>
      </c>
      <c r="J26" s="286"/>
      <c r="N26" s="286">
        <v>449</v>
      </c>
    </row>
    <row r="27" spans="1:14" ht="15.75">
      <c r="A27" s="201" t="s">
        <v>213</v>
      </c>
      <c r="B27" s="203">
        <v>305</v>
      </c>
      <c r="C27" s="202" t="s">
        <v>202</v>
      </c>
      <c r="D27" s="203">
        <f t="shared" si="0"/>
        <v>115.10600000000001</v>
      </c>
      <c r="E27" s="203">
        <v>85900</v>
      </c>
      <c r="F27" s="203">
        <v>1</v>
      </c>
      <c r="G27" s="203">
        <f t="shared" si="1"/>
        <v>85.9</v>
      </c>
      <c r="H27" s="288">
        <f t="shared" si="2"/>
        <v>15.366666666666667</v>
      </c>
      <c r="I27" s="117">
        <f t="shared" si="3"/>
        <v>1319.9966666666669</v>
      </c>
      <c r="J27" s="286"/>
      <c r="N27" s="286">
        <v>461</v>
      </c>
    </row>
    <row r="28" spans="1:14" ht="15.75">
      <c r="A28" s="201" t="s">
        <v>213</v>
      </c>
      <c r="B28" s="203">
        <v>306</v>
      </c>
      <c r="C28" s="202" t="s">
        <v>202</v>
      </c>
      <c r="D28" s="203">
        <f t="shared" si="0"/>
        <v>80.936000000000007</v>
      </c>
      <c r="E28" s="203">
        <v>60400</v>
      </c>
      <c r="F28" s="203">
        <v>1</v>
      </c>
      <c r="G28" s="203">
        <f t="shared" si="1"/>
        <v>60.4</v>
      </c>
      <c r="H28" s="288">
        <f t="shared" si="2"/>
        <v>14.8</v>
      </c>
      <c r="I28" s="117">
        <f t="shared" si="3"/>
        <v>893.92000000000007</v>
      </c>
      <c r="J28" s="286"/>
      <c r="N28" s="286">
        <v>444</v>
      </c>
    </row>
    <row r="29" spans="1:14" ht="15.75">
      <c r="A29" s="201" t="s">
        <v>213</v>
      </c>
      <c r="B29" s="203">
        <v>307</v>
      </c>
      <c r="C29" s="202" t="s">
        <v>202</v>
      </c>
      <c r="D29" s="203">
        <f t="shared" si="0"/>
        <v>248.03400000000002</v>
      </c>
      <c r="E29" s="203">
        <v>185100</v>
      </c>
      <c r="F29" s="203">
        <v>1</v>
      </c>
      <c r="G29" s="203">
        <f t="shared" si="1"/>
        <v>185.1</v>
      </c>
      <c r="H29" s="288">
        <f t="shared" si="2"/>
        <v>15.366666666666667</v>
      </c>
      <c r="I29" s="117">
        <f t="shared" si="3"/>
        <v>2844.37</v>
      </c>
      <c r="J29" s="286"/>
      <c r="N29" s="286">
        <v>461</v>
      </c>
    </row>
    <row r="30" spans="1:14" ht="15.75">
      <c r="A30" s="201" t="s">
        <v>213</v>
      </c>
      <c r="B30" s="203">
        <v>308</v>
      </c>
      <c r="C30" s="202" t="s">
        <v>202</v>
      </c>
      <c r="D30" s="203">
        <f t="shared" si="0"/>
        <v>73.968000000000004</v>
      </c>
      <c r="E30" s="203">
        <v>55200</v>
      </c>
      <c r="F30" s="203">
        <v>1</v>
      </c>
      <c r="G30" s="203">
        <f t="shared" si="1"/>
        <v>55.2</v>
      </c>
      <c r="H30" s="288">
        <f t="shared" si="2"/>
        <v>15.166666666666666</v>
      </c>
      <c r="I30" s="117">
        <f t="shared" si="3"/>
        <v>837.2</v>
      </c>
      <c r="J30" s="286"/>
      <c r="N30" s="286">
        <v>455</v>
      </c>
    </row>
    <row r="31" spans="1:14" ht="15.75">
      <c r="A31" s="201" t="s">
        <v>214</v>
      </c>
      <c r="B31" s="203">
        <v>318</v>
      </c>
      <c r="C31" s="202" t="s">
        <v>202</v>
      </c>
      <c r="D31" s="203">
        <f t="shared" si="0"/>
        <v>20.368000000000002</v>
      </c>
      <c r="E31" s="203">
        <v>15200</v>
      </c>
      <c r="F31" s="203">
        <v>1</v>
      </c>
      <c r="G31" s="203">
        <f t="shared" si="1"/>
        <v>15.2</v>
      </c>
      <c r="H31" s="288">
        <f t="shared" si="2"/>
        <v>18.233333333333334</v>
      </c>
      <c r="I31" s="117">
        <f t="shared" si="3"/>
        <v>277.14666666666665</v>
      </c>
      <c r="J31" s="286"/>
      <c r="N31" s="286">
        <v>547</v>
      </c>
    </row>
    <row r="32" spans="1:14" ht="15.75">
      <c r="A32" s="201" t="s">
        <v>214</v>
      </c>
      <c r="B32" s="203">
        <v>319</v>
      </c>
      <c r="C32" s="202" t="s">
        <v>202</v>
      </c>
      <c r="D32" s="203">
        <f t="shared" si="0"/>
        <v>6.03</v>
      </c>
      <c r="E32" s="203">
        <v>4500</v>
      </c>
      <c r="F32" s="203">
        <v>1</v>
      </c>
      <c r="G32" s="203">
        <f t="shared" si="1"/>
        <v>4.5</v>
      </c>
      <c r="H32" s="288">
        <f t="shared" si="2"/>
        <v>18.233333333333334</v>
      </c>
      <c r="I32" s="117">
        <f t="shared" si="3"/>
        <v>82.050000000000011</v>
      </c>
      <c r="J32" s="286"/>
      <c r="N32" s="286">
        <v>547</v>
      </c>
    </row>
    <row r="33" spans="1:14" ht="15.75">
      <c r="A33" s="201" t="s">
        <v>215</v>
      </c>
      <c r="B33" s="203">
        <v>320</v>
      </c>
      <c r="C33" s="202" t="s">
        <v>202</v>
      </c>
      <c r="D33" s="203">
        <f t="shared" si="0"/>
        <v>13.132</v>
      </c>
      <c r="E33" s="203">
        <v>9800</v>
      </c>
      <c r="F33" s="203">
        <v>1</v>
      </c>
      <c r="G33" s="203">
        <f t="shared" si="1"/>
        <v>9.8000000000000007</v>
      </c>
      <c r="H33" s="288">
        <f t="shared" si="2"/>
        <v>13.433333333333334</v>
      </c>
      <c r="I33" s="117">
        <f t="shared" si="3"/>
        <v>131.64666666666668</v>
      </c>
      <c r="J33" s="286"/>
      <c r="N33" s="286">
        <v>403</v>
      </c>
    </row>
    <row r="34" spans="1:14" ht="15.75">
      <c r="A34" s="201" t="s">
        <v>215</v>
      </c>
      <c r="B34" s="203">
        <v>321</v>
      </c>
      <c r="C34" s="202" t="s">
        <v>202</v>
      </c>
      <c r="D34" s="203">
        <f t="shared" si="0"/>
        <v>7.1020000000000003</v>
      </c>
      <c r="E34" s="203">
        <v>5300</v>
      </c>
      <c r="F34" s="203">
        <v>1</v>
      </c>
      <c r="G34" s="203">
        <f t="shared" si="1"/>
        <v>5.3</v>
      </c>
      <c r="H34" s="288">
        <f t="shared" si="2"/>
        <v>9.0333333333333332</v>
      </c>
      <c r="I34" s="117">
        <f t="shared" si="3"/>
        <v>47.876666666666665</v>
      </c>
      <c r="J34" s="286"/>
      <c r="N34" s="286">
        <v>271</v>
      </c>
    </row>
    <row r="35" spans="1:14" ht="15.75">
      <c r="A35" s="201" t="s">
        <v>216</v>
      </c>
      <c r="B35" s="203">
        <v>324</v>
      </c>
      <c r="C35" s="202" t="s">
        <v>202</v>
      </c>
      <c r="D35" s="203">
        <f t="shared" si="0"/>
        <v>12.73</v>
      </c>
      <c r="E35" s="203">
        <v>9500</v>
      </c>
      <c r="F35" s="203">
        <v>1</v>
      </c>
      <c r="G35" s="203">
        <f t="shared" si="1"/>
        <v>9.5</v>
      </c>
      <c r="H35" s="288">
        <f t="shared" si="2"/>
        <v>14.2</v>
      </c>
      <c r="I35" s="117">
        <f t="shared" si="3"/>
        <v>134.9</v>
      </c>
      <c r="J35" s="286"/>
      <c r="N35" s="286">
        <v>426</v>
      </c>
    </row>
    <row r="36" spans="1:14" ht="15.75">
      <c r="A36" s="201" t="s">
        <v>215</v>
      </c>
      <c r="B36" s="203">
        <v>333</v>
      </c>
      <c r="C36" s="202" t="s">
        <v>202</v>
      </c>
      <c r="D36" s="203">
        <f t="shared" si="0"/>
        <v>12.06</v>
      </c>
      <c r="E36" s="203">
        <v>9000</v>
      </c>
      <c r="F36" s="203">
        <v>1</v>
      </c>
      <c r="G36" s="203">
        <f t="shared" si="1"/>
        <v>9</v>
      </c>
      <c r="H36" s="288">
        <f t="shared" si="2"/>
        <v>9.8000000000000007</v>
      </c>
      <c r="I36" s="117">
        <f t="shared" si="3"/>
        <v>88.2</v>
      </c>
      <c r="J36" s="286"/>
      <c r="N36" s="286">
        <v>294</v>
      </c>
    </row>
    <row r="37" spans="1:14" ht="15.75">
      <c r="A37" s="201" t="s">
        <v>214</v>
      </c>
      <c r="B37" s="203">
        <v>340</v>
      </c>
      <c r="C37" s="202" t="s">
        <v>202</v>
      </c>
      <c r="D37" s="203">
        <f t="shared" si="0"/>
        <v>8.9779999999999998</v>
      </c>
      <c r="E37" s="203">
        <v>6700</v>
      </c>
      <c r="F37" s="203">
        <v>1</v>
      </c>
      <c r="G37" s="203">
        <f t="shared" si="1"/>
        <v>6.7</v>
      </c>
      <c r="H37" s="288">
        <f t="shared" si="2"/>
        <v>15.366666666666667</v>
      </c>
      <c r="I37" s="117">
        <f t="shared" si="3"/>
        <v>102.95666666666668</v>
      </c>
      <c r="J37" s="286"/>
      <c r="N37" s="286">
        <v>461</v>
      </c>
    </row>
    <row r="38" spans="1:14" ht="15.75">
      <c r="A38" s="201" t="s">
        <v>213</v>
      </c>
      <c r="B38" s="203">
        <v>406</v>
      </c>
      <c r="C38" s="202" t="s">
        <v>202</v>
      </c>
      <c r="D38" s="203">
        <f t="shared" si="0"/>
        <v>11.39</v>
      </c>
      <c r="E38" s="203">
        <v>8500</v>
      </c>
      <c r="F38" s="203">
        <v>1</v>
      </c>
      <c r="G38" s="203">
        <f t="shared" si="1"/>
        <v>8.5</v>
      </c>
      <c r="H38" s="288">
        <f t="shared" si="2"/>
        <v>13.433333333333334</v>
      </c>
      <c r="I38" s="117">
        <f t="shared" si="3"/>
        <v>114.18333333333334</v>
      </c>
      <c r="J38" s="286"/>
      <c r="N38" s="286">
        <v>403</v>
      </c>
    </row>
    <row r="39" spans="1:14" ht="15.75">
      <c r="A39" s="201" t="s">
        <v>217</v>
      </c>
      <c r="B39" s="203">
        <v>407</v>
      </c>
      <c r="C39" s="202" t="s">
        <v>202</v>
      </c>
      <c r="D39" s="203">
        <f t="shared" si="0"/>
        <v>11.39</v>
      </c>
      <c r="E39" s="203">
        <v>8500</v>
      </c>
      <c r="F39" s="203">
        <v>1</v>
      </c>
      <c r="G39" s="203">
        <f t="shared" si="1"/>
        <v>8.5</v>
      </c>
      <c r="H39" s="288">
        <f t="shared" si="2"/>
        <v>13.433333333333334</v>
      </c>
      <c r="I39" s="117">
        <f t="shared" si="3"/>
        <v>114.18333333333334</v>
      </c>
      <c r="J39" s="286"/>
      <c r="N39" s="286">
        <v>403</v>
      </c>
    </row>
    <row r="40" spans="1:14" ht="15.75">
      <c r="A40" s="201" t="s">
        <v>213</v>
      </c>
      <c r="B40" s="203">
        <v>408</v>
      </c>
      <c r="C40" s="202" t="s">
        <v>202</v>
      </c>
      <c r="D40" s="203">
        <f t="shared" si="0"/>
        <v>11.39</v>
      </c>
      <c r="E40" s="203">
        <v>8500</v>
      </c>
      <c r="F40" s="203">
        <v>1</v>
      </c>
      <c r="G40" s="203">
        <f t="shared" si="1"/>
        <v>8.5</v>
      </c>
      <c r="H40" s="288">
        <f t="shared" si="2"/>
        <v>13.433333333333334</v>
      </c>
      <c r="I40" s="117">
        <f t="shared" si="3"/>
        <v>114.18333333333334</v>
      </c>
      <c r="J40" s="286"/>
      <c r="N40" s="286">
        <v>403</v>
      </c>
    </row>
    <row r="41" spans="1:14" ht="15.75">
      <c r="A41" s="201" t="s">
        <v>217</v>
      </c>
      <c r="B41" s="203">
        <v>409</v>
      </c>
      <c r="C41" s="202" t="s">
        <v>202</v>
      </c>
      <c r="D41" s="203">
        <f t="shared" si="0"/>
        <v>11.39</v>
      </c>
      <c r="E41" s="203">
        <v>8500</v>
      </c>
      <c r="F41" s="203">
        <v>1</v>
      </c>
      <c r="G41" s="203">
        <f t="shared" si="1"/>
        <v>8.5</v>
      </c>
      <c r="H41" s="288">
        <f t="shared" si="2"/>
        <v>13.433333333333334</v>
      </c>
      <c r="I41" s="117">
        <f t="shared" si="3"/>
        <v>114.18333333333334</v>
      </c>
      <c r="J41" s="286"/>
      <c r="N41" s="286">
        <v>403</v>
      </c>
    </row>
    <row r="42" spans="1:14" ht="15.75">
      <c r="A42" s="201" t="s">
        <v>213</v>
      </c>
      <c r="B42" s="203">
        <v>410</v>
      </c>
      <c r="C42" s="202" t="s">
        <v>202</v>
      </c>
      <c r="D42" s="203">
        <f t="shared" si="0"/>
        <v>90.718000000000004</v>
      </c>
      <c r="E42" s="203">
        <v>67700</v>
      </c>
      <c r="F42" s="203">
        <v>1</v>
      </c>
      <c r="G42" s="203">
        <f t="shared" si="1"/>
        <v>67.7</v>
      </c>
      <c r="H42" s="288">
        <f t="shared" si="2"/>
        <v>13.433333333333334</v>
      </c>
      <c r="I42" s="117">
        <f t="shared" si="3"/>
        <v>909.43666666666672</v>
      </c>
      <c r="J42" s="286"/>
      <c r="N42" s="286">
        <v>403</v>
      </c>
    </row>
    <row r="43" spans="1:14" ht="15">
      <c r="A43" s="111" t="s">
        <v>213</v>
      </c>
      <c r="J43" s="111"/>
    </row>
    <row r="44" spans="1:14" ht="15">
      <c r="A44" s="111" t="s">
        <v>213</v>
      </c>
      <c r="J44" s="111"/>
    </row>
    <row r="45" spans="1:14" ht="15">
      <c r="A45" s="111" t="s">
        <v>217</v>
      </c>
      <c r="J45" s="111"/>
    </row>
    <row r="46" spans="1:14" ht="15">
      <c r="A46" s="111" t="s">
        <v>213</v>
      </c>
      <c r="J46" s="111"/>
    </row>
    <row r="47" spans="1:14" ht="15">
      <c r="J47" s="111"/>
    </row>
    <row r="48" spans="1:14" ht="15">
      <c r="J48" s="111"/>
    </row>
    <row r="49" spans="10:10" ht="15">
      <c r="J49" s="111"/>
    </row>
    <row r="50" spans="10:10" ht="15">
      <c r="J50" s="111"/>
    </row>
    <row r="51" spans="10:10" ht="15">
      <c r="J51" s="111"/>
    </row>
    <row r="52" spans="10:10" ht="15">
      <c r="J52" s="111"/>
    </row>
    <row r="53" spans="10:10" ht="15">
      <c r="J53" s="111"/>
    </row>
    <row r="54" spans="10:10" ht="15">
      <c r="J54" s="111"/>
    </row>
    <row r="55" spans="10:10" ht="15">
      <c r="J55" s="111"/>
    </row>
    <row r="56" spans="10:10" ht="15">
      <c r="J56" s="111"/>
    </row>
    <row r="57" spans="10:10" ht="15">
      <c r="J57" s="111"/>
    </row>
    <row r="58" spans="10:10" ht="15">
      <c r="J58" s="111"/>
    </row>
    <row r="59" spans="10:10" ht="15">
      <c r="J59" s="111"/>
    </row>
    <row r="60" spans="10:10" ht="15">
      <c r="J60" s="111"/>
    </row>
    <row r="61" spans="10:10" ht="15">
      <c r="J61" s="111"/>
    </row>
    <row r="62" spans="10:10" ht="15">
      <c r="J62" s="111"/>
    </row>
    <row r="63" spans="10:10" ht="15">
      <c r="J63" s="111"/>
    </row>
    <row r="64" spans="10:10" ht="15">
      <c r="J64" s="111"/>
    </row>
    <row r="65" spans="10:10" ht="15">
      <c r="J65" s="111"/>
    </row>
    <row r="66" spans="10:10" ht="15">
      <c r="J66" s="111"/>
    </row>
    <row r="67" spans="10:10" ht="15">
      <c r="J67" s="111"/>
    </row>
    <row r="68" spans="10:10" ht="15">
      <c r="J68" s="111"/>
    </row>
    <row r="69" spans="10:10" ht="15">
      <c r="J69" s="111"/>
    </row>
    <row r="70" spans="10:10" ht="15">
      <c r="J70" s="111"/>
    </row>
    <row r="71" spans="10:10" ht="15">
      <c r="J71" s="111"/>
    </row>
    <row r="72" spans="10:10" ht="15">
      <c r="J72" s="111"/>
    </row>
    <row r="73" spans="10:10" ht="15">
      <c r="J73" s="111"/>
    </row>
    <row r="74" spans="10:10" ht="15">
      <c r="J74" s="111"/>
    </row>
    <row r="75" spans="10:10" ht="15">
      <c r="J75" s="111"/>
    </row>
    <row r="76" spans="10:10" ht="15">
      <c r="J76" s="111"/>
    </row>
    <row r="77" spans="10:10" ht="15">
      <c r="J77" s="111"/>
    </row>
    <row r="78" spans="10:10" ht="15">
      <c r="J78" s="111"/>
    </row>
    <row r="79" spans="10:10" ht="15">
      <c r="J79" s="111"/>
    </row>
    <row r="80" spans="10:10" ht="15">
      <c r="J80" s="111"/>
    </row>
    <row r="81" spans="10:10" ht="15">
      <c r="J81" s="111"/>
    </row>
    <row r="82" spans="10:10" ht="15">
      <c r="J82" s="111"/>
    </row>
    <row r="83" spans="10:10" ht="15">
      <c r="J83" s="111"/>
    </row>
    <row r="84" spans="10:10" ht="15">
      <c r="J84" s="111"/>
    </row>
    <row r="85" spans="10:10" ht="15">
      <c r="J85" s="111"/>
    </row>
    <row r="86" spans="10:10" ht="15">
      <c r="J86" s="111"/>
    </row>
    <row r="87" spans="10:10" ht="15">
      <c r="J87" s="111"/>
    </row>
    <row r="88" spans="10:10" ht="15">
      <c r="J88" s="111"/>
    </row>
    <row r="89" spans="10:10" ht="15">
      <c r="J89" s="111"/>
    </row>
    <row r="90" spans="10:10" ht="15">
      <c r="J90" s="111"/>
    </row>
    <row r="91" spans="10:10" ht="15">
      <c r="J91" s="111"/>
    </row>
    <row r="92" spans="10:10" ht="15">
      <c r="J92" s="111"/>
    </row>
    <row r="93" spans="10:10" ht="15">
      <c r="J93" s="111"/>
    </row>
    <row r="94" spans="10:10" ht="15">
      <c r="J94" s="111"/>
    </row>
    <row r="95" spans="10:10" ht="15">
      <c r="J95" s="111"/>
    </row>
    <row r="96" spans="10:10" ht="15">
      <c r="J96" s="111"/>
    </row>
    <row r="97" spans="10:10" ht="15">
      <c r="J97" s="111"/>
    </row>
    <row r="98" spans="10:10" ht="15">
      <c r="J98" s="111"/>
    </row>
    <row r="99" spans="10:10" ht="15">
      <c r="J99" s="111"/>
    </row>
    <row r="100" spans="10:10" ht="15">
      <c r="J100" s="111"/>
    </row>
    <row r="101" spans="10:10" ht="15">
      <c r="J101" s="111"/>
    </row>
    <row r="102" spans="10:10" ht="15">
      <c r="J102" s="111"/>
    </row>
    <row r="103" spans="10:10" ht="15">
      <c r="J103" s="111"/>
    </row>
    <row r="104" spans="10:10" ht="15">
      <c r="J104" s="111"/>
    </row>
    <row r="105" spans="10:10" ht="15">
      <c r="J105" s="111"/>
    </row>
    <row r="106" spans="10:10" ht="15">
      <c r="J106" s="111"/>
    </row>
    <row r="107" spans="10:10" ht="15">
      <c r="J107" s="111"/>
    </row>
    <row r="108" spans="10:10" ht="15">
      <c r="J108" s="111"/>
    </row>
    <row r="109" spans="10:10" ht="15">
      <c r="J109" s="111"/>
    </row>
    <row r="110" spans="10:10" ht="15">
      <c r="J110" s="111"/>
    </row>
    <row r="111" spans="10:10" ht="15">
      <c r="J111" s="111"/>
    </row>
    <row r="112" spans="10:10" ht="15">
      <c r="J112" s="111"/>
    </row>
    <row r="113" spans="10:10" ht="15">
      <c r="J113" s="111"/>
    </row>
    <row r="114" spans="10:10" ht="15">
      <c r="J114" s="111"/>
    </row>
    <row r="115" spans="10:10" ht="15">
      <c r="J115" s="111"/>
    </row>
    <row r="116" spans="10:10" ht="15">
      <c r="J116" s="111"/>
    </row>
    <row r="117" spans="10:10" ht="15">
      <c r="J117" s="111"/>
    </row>
    <row r="118" spans="10:10" ht="15">
      <c r="J118" s="111"/>
    </row>
    <row r="119" spans="10:10" ht="15">
      <c r="J119" s="111"/>
    </row>
    <row r="120" spans="10:10" ht="15">
      <c r="J120" s="111"/>
    </row>
    <row r="121" spans="10:10" ht="15">
      <c r="J121" s="111"/>
    </row>
    <row r="122" spans="10:10" ht="15">
      <c r="J122" s="111"/>
    </row>
    <row r="123" spans="10:10" ht="15">
      <c r="J123" s="111"/>
    </row>
    <row r="124" spans="10:10" ht="15">
      <c r="J124" s="111"/>
    </row>
    <row r="125" spans="10:10" ht="15">
      <c r="J125" s="111"/>
    </row>
    <row r="126" spans="10:10" ht="15">
      <c r="J126" s="111"/>
    </row>
    <row r="127" spans="10:10" ht="15">
      <c r="J127" s="111"/>
    </row>
    <row r="128" spans="10:10" ht="15">
      <c r="J128" s="111"/>
    </row>
    <row r="129" spans="10:10" ht="15">
      <c r="J129" s="111"/>
    </row>
    <row r="130" spans="10:10" ht="15">
      <c r="J130" s="111"/>
    </row>
    <row r="131" spans="10:10" ht="15">
      <c r="J131" s="111"/>
    </row>
    <row r="132" spans="10:10" ht="15">
      <c r="J132" s="111"/>
    </row>
    <row r="133" spans="10:10" ht="15">
      <c r="J133" s="111"/>
    </row>
    <row r="134" spans="10:10" ht="15">
      <c r="J134" s="111"/>
    </row>
    <row r="135" spans="10:10" ht="15">
      <c r="J135" s="111"/>
    </row>
    <row r="136" spans="10:10" ht="15">
      <c r="J136" s="111"/>
    </row>
    <row r="137" spans="10:10" ht="15">
      <c r="J137" s="111"/>
    </row>
    <row r="138" spans="10:10" ht="15">
      <c r="J138" s="111"/>
    </row>
    <row r="139" spans="10:10" ht="15">
      <c r="J139" s="111"/>
    </row>
    <row r="140" spans="10:10" ht="15">
      <c r="J140" s="111"/>
    </row>
    <row r="141" spans="10:10" ht="15">
      <c r="J141" s="111"/>
    </row>
    <row r="142" spans="10:10" ht="15">
      <c r="J142" s="111"/>
    </row>
    <row r="143" spans="10:10" ht="15">
      <c r="J143" s="111"/>
    </row>
    <row r="144" spans="10:10" ht="15">
      <c r="J144" s="111"/>
    </row>
    <row r="145" spans="10:10" ht="15">
      <c r="J145" s="111"/>
    </row>
    <row r="146" spans="10:10" ht="15">
      <c r="J146" s="111"/>
    </row>
    <row r="147" spans="10:10" ht="15">
      <c r="J147" s="111"/>
    </row>
    <row r="148" spans="10:10" ht="15">
      <c r="J148" s="111"/>
    </row>
    <row r="149" spans="10:10" ht="15">
      <c r="J149" s="111"/>
    </row>
    <row r="150" spans="10:10" ht="15">
      <c r="J150" s="111"/>
    </row>
    <row r="151" spans="10:10" ht="15">
      <c r="J151" s="111"/>
    </row>
    <row r="152" spans="10:10" ht="15">
      <c r="J152" s="111"/>
    </row>
    <row r="153" spans="10:10" ht="15">
      <c r="J153" s="111"/>
    </row>
    <row r="154" spans="10:10" ht="15">
      <c r="J154" s="111"/>
    </row>
    <row r="155" spans="10:10" ht="15">
      <c r="J155" s="111"/>
    </row>
    <row r="156" spans="10:10" ht="15">
      <c r="J156" s="111"/>
    </row>
    <row r="157" spans="10:10" ht="15">
      <c r="J157" s="111"/>
    </row>
    <row r="158" spans="10:10" ht="15">
      <c r="J158" s="111"/>
    </row>
    <row r="159" spans="10:10" ht="15">
      <c r="J159" s="111"/>
    </row>
    <row r="160" spans="10:10" ht="15">
      <c r="J160" s="111"/>
    </row>
    <row r="161" spans="10:10" ht="15">
      <c r="J161" s="111"/>
    </row>
    <row r="162" spans="10:10" ht="15">
      <c r="J162" s="111"/>
    </row>
    <row r="163" spans="10:10" ht="15">
      <c r="J163" s="111"/>
    </row>
    <row r="164" spans="10:10" ht="15">
      <c r="J164" s="111"/>
    </row>
    <row r="165" spans="10:10" ht="15">
      <c r="J165" s="111"/>
    </row>
    <row r="166" spans="10:10" ht="15">
      <c r="J166" s="111"/>
    </row>
    <row r="167" spans="10:10" ht="15">
      <c r="J167" s="111"/>
    </row>
    <row r="168" spans="10:10" ht="15">
      <c r="J168" s="111"/>
    </row>
    <row r="169" spans="10:10" ht="15">
      <c r="J169" s="111"/>
    </row>
    <row r="170" spans="10:10" ht="15">
      <c r="J170" s="111"/>
    </row>
    <row r="171" spans="10:10" ht="15">
      <c r="J171" s="111"/>
    </row>
    <row r="172" spans="10:10" ht="15">
      <c r="J172" s="111"/>
    </row>
    <row r="173" spans="10:10" ht="15">
      <c r="J173" s="111"/>
    </row>
    <row r="174" spans="10:10" ht="15">
      <c r="J174" s="111"/>
    </row>
    <row r="175" spans="10:10" ht="15">
      <c r="J175" s="111"/>
    </row>
    <row r="176" spans="10:10" ht="15">
      <c r="J176" s="111"/>
    </row>
    <row r="177" spans="10:10" ht="15">
      <c r="J177" s="111"/>
    </row>
    <row r="178" spans="10:10" ht="15">
      <c r="J178" s="111"/>
    </row>
    <row r="179" spans="10:10" ht="15">
      <c r="J179" s="111"/>
    </row>
    <row r="180" spans="10:10" ht="15">
      <c r="J180" s="111"/>
    </row>
    <row r="181" spans="10:10" ht="15">
      <c r="J181" s="111"/>
    </row>
    <row r="182" spans="10:10" ht="15">
      <c r="J182" s="111"/>
    </row>
    <row r="183" spans="10:10" ht="15">
      <c r="J183" s="111"/>
    </row>
    <row r="184" spans="10:10" ht="15">
      <c r="J184" s="111"/>
    </row>
    <row r="185" spans="10:10" ht="15">
      <c r="J185" s="111"/>
    </row>
    <row r="186" spans="10:10" ht="15">
      <c r="J186" s="111"/>
    </row>
    <row r="187" spans="10:10" ht="15">
      <c r="J187" s="111"/>
    </row>
    <row r="188" spans="10:10" ht="15">
      <c r="J188" s="111"/>
    </row>
    <row r="189" spans="10:10" ht="15">
      <c r="J189" s="111"/>
    </row>
    <row r="190" spans="10:10" ht="15">
      <c r="J190" s="111"/>
    </row>
    <row r="191" spans="10:10" ht="15">
      <c r="J191" s="111"/>
    </row>
    <row r="192" spans="10:10" ht="15">
      <c r="J192" s="111"/>
    </row>
    <row r="193" spans="10:10" ht="15">
      <c r="J193" s="111"/>
    </row>
    <row r="194" spans="10:10" ht="15">
      <c r="J194" s="111"/>
    </row>
    <row r="195" spans="10:10" ht="15">
      <c r="J195" s="111"/>
    </row>
    <row r="196" spans="10:10" ht="15">
      <c r="J196" s="111"/>
    </row>
    <row r="197" spans="10:10" ht="15">
      <c r="J197" s="111"/>
    </row>
    <row r="198" spans="10:10" ht="15">
      <c r="J198" s="111"/>
    </row>
    <row r="199" spans="10:10" ht="15">
      <c r="J199" s="111"/>
    </row>
    <row r="200" spans="10:10" ht="15">
      <c r="J200" s="111"/>
    </row>
    <row r="201" spans="10:10" ht="15">
      <c r="J201" s="111"/>
    </row>
    <row r="202" spans="10:10" ht="15">
      <c r="J202" s="111"/>
    </row>
    <row r="203" spans="10:10" ht="15">
      <c r="J203" s="111"/>
    </row>
    <row r="204" spans="10:10" ht="15">
      <c r="J204" s="111"/>
    </row>
    <row r="205" spans="10:10" ht="15">
      <c r="J205" s="111"/>
    </row>
    <row r="206" spans="10:10" ht="15">
      <c r="J206" s="111"/>
    </row>
    <row r="207" spans="10:10" ht="15">
      <c r="J207" s="111"/>
    </row>
    <row r="208" spans="10:10" ht="15">
      <c r="J208" s="111"/>
    </row>
    <row r="209" spans="10:10" ht="15">
      <c r="J209" s="111"/>
    </row>
    <row r="210" spans="10:10" ht="15">
      <c r="J210" s="111"/>
    </row>
    <row r="211" spans="10:10" ht="15">
      <c r="J211" s="111"/>
    </row>
    <row r="212" spans="10:10" ht="15">
      <c r="J212" s="111"/>
    </row>
    <row r="213" spans="10:10" ht="15">
      <c r="J213" s="111"/>
    </row>
    <row r="214" spans="10:10" ht="11.25" customHeight="1">
      <c r="J214" s="111"/>
    </row>
    <row r="215" spans="10:10" ht="11.25" customHeight="1">
      <c r="J215" s="111"/>
    </row>
    <row r="216" spans="10:10" ht="11.25" customHeight="1">
      <c r="J216" s="111"/>
    </row>
    <row r="217" spans="10:10" ht="11.25" customHeight="1">
      <c r="J217" s="111"/>
    </row>
    <row r="218" spans="10:10" ht="11.25" customHeight="1">
      <c r="J218" s="111"/>
    </row>
    <row r="219" spans="10:10" ht="11.25" customHeight="1">
      <c r="J219" s="111"/>
    </row>
    <row r="220" spans="10:10" ht="11.25" customHeight="1">
      <c r="J220" s="111"/>
    </row>
    <row r="221" spans="10:10" ht="11.25" customHeight="1">
      <c r="J221" s="111"/>
    </row>
    <row r="222" spans="10:10" ht="11.25" customHeight="1">
      <c r="J222" s="111"/>
    </row>
    <row r="223" spans="10:10" ht="11.25" customHeight="1">
      <c r="J223" s="111"/>
    </row>
    <row r="224" spans="10:10" ht="11.25" customHeight="1">
      <c r="J224" s="111"/>
    </row>
    <row r="225" spans="10:10" ht="11.25" customHeight="1">
      <c r="J225" s="111"/>
    </row>
    <row r="226" spans="10:10" ht="11.25" customHeight="1">
      <c r="J226" s="111"/>
    </row>
    <row r="227" spans="10:10" ht="11.25" customHeight="1">
      <c r="J227" s="111"/>
    </row>
    <row r="228" spans="10:10" ht="11.25" customHeight="1">
      <c r="J228" s="111"/>
    </row>
    <row r="229" spans="10:10" ht="11.25" customHeight="1">
      <c r="J229" s="111"/>
    </row>
    <row r="230" spans="10:10" ht="11.25" customHeight="1">
      <c r="J230" s="111"/>
    </row>
    <row r="231" spans="10:10" ht="11.25" customHeight="1">
      <c r="J231" s="111"/>
    </row>
    <row r="232" spans="10:10" ht="11.25" customHeight="1">
      <c r="J232" s="111"/>
    </row>
    <row r="233" spans="10:10" ht="11.25" customHeight="1">
      <c r="J233" s="111"/>
    </row>
    <row r="234" spans="10:10" ht="11.25" customHeight="1">
      <c r="J234" s="111"/>
    </row>
    <row r="235" spans="10:10" ht="11.25" customHeight="1">
      <c r="J235" s="111"/>
    </row>
    <row r="236" spans="10:10" ht="11.25" customHeight="1">
      <c r="J236" s="111"/>
    </row>
    <row r="237" spans="10:10" ht="11.25" customHeight="1">
      <c r="J237" s="111"/>
    </row>
    <row r="238" spans="10:10" ht="11.25" customHeight="1">
      <c r="J238" s="111"/>
    </row>
    <row r="239" spans="10:10" ht="11.25" customHeight="1">
      <c r="J239" s="111"/>
    </row>
    <row r="240" spans="10:10" ht="11.25" customHeight="1">
      <c r="J240" s="111"/>
    </row>
    <row r="241" spans="10:10" ht="11.25" customHeight="1">
      <c r="J241" s="111"/>
    </row>
    <row r="242" spans="10:10" ht="11.25" customHeight="1">
      <c r="J242" s="111"/>
    </row>
    <row r="243" spans="10:10" ht="11.25" customHeight="1">
      <c r="J243" s="111"/>
    </row>
    <row r="244" spans="10:10" ht="11.25" customHeight="1">
      <c r="J244" s="111"/>
    </row>
    <row r="245" spans="10:10" ht="11.25" customHeight="1">
      <c r="J245" s="111"/>
    </row>
    <row r="246" spans="10:10" ht="11.25" customHeight="1">
      <c r="J246" s="111"/>
    </row>
    <row r="247" spans="10:10" ht="11.25" customHeight="1">
      <c r="J247" s="111"/>
    </row>
    <row r="248" spans="10:10" ht="11.25" customHeight="1">
      <c r="J248" s="111"/>
    </row>
    <row r="249" spans="10:10" ht="11.25" customHeight="1">
      <c r="J249" s="111"/>
    </row>
    <row r="250" spans="10:10" ht="11.25" customHeight="1">
      <c r="J250" s="111"/>
    </row>
    <row r="251" spans="10:10" ht="11.25" customHeight="1">
      <c r="J251" s="111"/>
    </row>
    <row r="252" spans="10:10" ht="11.25" customHeight="1">
      <c r="J252" s="111"/>
    </row>
    <row r="253" spans="10:10" ht="11.25" customHeight="1">
      <c r="J253" s="111"/>
    </row>
    <row r="254" spans="10:10" ht="11.25" customHeight="1">
      <c r="J254" s="111"/>
    </row>
    <row r="255" spans="10:10" ht="11.25" customHeight="1">
      <c r="J255" s="111"/>
    </row>
    <row r="256" spans="10:10" ht="11.25" customHeight="1">
      <c r="J256" s="111"/>
    </row>
    <row r="257" spans="10:10" ht="11.25" customHeight="1">
      <c r="J257" s="111"/>
    </row>
    <row r="258" spans="10:10" ht="11.25" customHeight="1">
      <c r="J258" s="111"/>
    </row>
    <row r="259" spans="10:10" ht="11.25" customHeight="1">
      <c r="J259" s="111"/>
    </row>
    <row r="260" spans="10:10" ht="11.25" customHeight="1">
      <c r="J260" s="111"/>
    </row>
    <row r="261" spans="10:10" ht="11.25" customHeight="1">
      <c r="J261" s="111"/>
    </row>
    <row r="262" spans="10:10" ht="11.25" customHeight="1">
      <c r="J262" s="111"/>
    </row>
    <row r="263" spans="10:10" ht="11.25" customHeight="1">
      <c r="J263" s="111"/>
    </row>
    <row r="264" spans="10:10" ht="11.25" customHeight="1">
      <c r="J264" s="111"/>
    </row>
    <row r="265" spans="10:10" ht="11.25" customHeight="1">
      <c r="J265" s="111"/>
    </row>
    <row r="266" spans="10:10" ht="11.25" customHeight="1">
      <c r="J266" s="111"/>
    </row>
    <row r="267" spans="10:10" ht="11.25" customHeight="1">
      <c r="J267" s="111"/>
    </row>
    <row r="268" spans="10:10" ht="11.25" customHeight="1">
      <c r="J268" s="111"/>
    </row>
    <row r="269" spans="10:10" ht="11.25" customHeight="1">
      <c r="J269" s="111"/>
    </row>
    <row r="270" spans="10:10" ht="11.25" customHeight="1">
      <c r="J270" s="111"/>
    </row>
    <row r="271" spans="10:10" ht="11.25" customHeight="1">
      <c r="J271" s="111"/>
    </row>
    <row r="272" spans="10:10" ht="11.25" customHeight="1">
      <c r="J272" s="111"/>
    </row>
    <row r="273" spans="10:10" ht="11.25" customHeight="1">
      <c r="J273" s="111"/>
    </row>
    <row r="274" spans="10:10" ht="11.25" customHeight="1">
      <c r="J274" s="111"/>
    </row>
    <row r="275" spans="10:10" ht="11.25" customHeight="1">
      <c r="J275" s="111"/>
    </row>
    <row r="276" spans="10:10" ht="11.25" customHeight="1">
      <c r="J276" s="111"/>
    </row>
    <row r="277" spans="10:10" ht="11.25" customHeight="1">
      <c r="J277" s="111"/>
    </row>
    <row r="278" spans="10:10" ht="11.25" customHeight="1">
      <c r="J278" s="111"/>
    </row>
    <row r="279" spans="10:10" ht="11.25" customHeight="1">
      <c r="J279" s="111"/>
    </row>
    <row r="280" spans="10:10" ht="11.25" customHeight="1">
      <c r="J280" s="111"/>
    </row>
    <row r="281" spans="10:10" ht="11.25" customHeight="1">
      <c r="J281" s="111"/>
    </row>
    <row r="282" spans="10:10" ht="11.25" customHeight="1">
      <c r="J282" s="111"/>
    </row>
    <row r="283" spans="10:10" ht="11.25" customHeight="1">
      <c r="J283" s="111"/>
    </row>
    <row r="284" spans="10:10" ht="11.25" customHeight="1">
      <c r="J284" s="111"/>
    </row>
    <row r="285" spans="10:10" ht="11.25" customHeight="1">
      <c r="J285" s="111"/>
    </row>
    <row r="286" spans="10:10" ht="11.25" customHeight="1">
      <c r="J286" s="111"/>
    </row>
    <row r="287" spans="10:10" ht="11.25" customHeight="1">
      <c r="J287" s="111"/>
    </row>
    <row r="288" spans="10:10" ht="11.25" customHeight="1">
      <c r="J288" s="111"/>
    </row>
    <row r="289" spans="10:10" ht="11.25" customHeight="1">
      <c r="J289" s="111"/>
    </row>
    <row r="290" spans="10:10" ht="11.25" customHeight="1">
      <c r="J290" s="111"/>
    </row>
    <row r="291" spans="10:10" ht="11.25" customHeight="1">
      <c r="J291" s="111"/>
    </row>
    <row r="292" spans="10:10" ht="11.25" customHeight="1">
      <c r="J292" s="111"/>
    </row>
    <row r="293" spans="10:10" ht="11.25" customHeight="1">
      <c r="J293" s="111"/>
    </row>
    <row r="294" spans="10:10" ht="11.25" customHeight="1">
      <c r="J294" s="111"/>
    </row>
    <row r="295" spans="10:10" ht="11.25" customHeight="1">
      <c r="J295" s="111"/>
    </row>
    <row r="296" spans="10:10" ht="11.25" customHeight="1">
      <c r="J296" s="111"/>
    </row>
    <row r="297" spans="10:10" ht="11.25" customHeight="1">
      <c r="J297" s="111"/>
    </row>
    <row r="298" spans="10:10" ht="11.25" customHeight="1">
      <c r="J298" s="111"/>
    </row>
    <row r="299" spans="10:10" ht="11.25" customHeight="1">
      <c r="J299" s="111"/>
    </row>
    <row r="300" spans="10:10" ht="11.25" customHeight="1">
      <c r="J300" s="111"/>
    </row>
    <row r="301" spans="10:10" ht="11.25" customHeight="1">
      <c r="J301" s="111"/>
    </row>
    <row r="302" spans="10:10" ht="11.25" customHeight="1">
      <c r="J302" s="111"/>
    </row>
    <row r="303" spans="10:10" ht="11.25" customHeight="1">
      <c r="J303" s="111"/>
    </row>
    <row r="304" spans="10:10" ht="11.25" customHeight="1">
      <c r="J304" s="111"/>
    </row>
    <row r="305" spans="10:10" ht="11.25" customHeight="1">
      <c r="J305" s="111"/>
    </row>
    <row r="306" spans="10:10" ht="11.25" customHeight="1">
      <c r="J306" s="111"/>
    </row>
    <row r="307" spans="10:10" ht="11.25" customHeight="1">
      <c r="J307" s="111"/>
    </row>
    <row r="308" spans="10:10" ht="11.25" customHeight="1">
      <c r="J308" s="111"/>
    </row>
    <row r="309" spans="10:10" ht="11.25" customHeight="1">
      <c r="J309" s="111"/>
    </row>
    <row r="310" spans="10:10" ht="11.25" customHeight="1">
      <c r="J310" s="111"/>
    </row>
    <row r="311" spans="10:10" ht="11.25" customHeight="1">
      <c r="J311" s="111"/>
    </row>
    <row r="312" spans="10:10" ht="11.25" customHeight="1">
      <c r="J312" s="111"/>
    </row>
    <row r="313" spans="10:10" ht="11.25" customHeight="1">
      <c r="J313" s="111"/>
    </row>
    <row r="314" spans="10:10" ht="11.25" customHeight="1">
      <c r="J314" s="111"/>
    </row>
    <row r="315" spans="10:10" ht="11.25" customHeight="1">
      <c r="J315" s="111"/>
    </row>
    <row r="316" spans="10:10" ht="11.25" customHeight="1">
      <c r="J316" s="111"/>
    </row>
    <row r="317" spans="10:10" ht="11.25" customHeight="1">
      <c r="J317" s="111"/>
    </row>
    <row r="318" spans="10:10" ht="11.25" customHeight="1">
      <c r="J318" s="111"/>
    </row>
    <row r="319" spans="10:10" ht="11.25" customHeight="1">
      <c r="J319" s="111"/>
    </row>
    <row r="320" spans="10:10" ht="11.25" customHeight="1">
      <c r="J320" s="111"/>
    </row>
    <row r="321" spans="10:10" ht="11.25" customHeight="1">
      <c r="J321" s="111"/>
    </row>
    <row r="322" spans="10:10" ht="11.25" customHeight="1">
      <c r="J322" s="111"/>
    </row>
    <row r="323" spans="10:10" ht="11.25" customHeight="1">
      <c r="J323" s="111"/>
    </row>
    <row r="324" spans="10:10" ht="11.25" customHeight="1">
      <c r="J324" s="111"/>
    </row>
    <row r="325" spans="10:10" ht="11.25" customHeight="1">
      <c r="J325" s="111"/>
    </row>
    <row r="326" spans="10:10" ht="11.25" customHeight="1">
      <c r="J326" s="111"/>
    </row>
    <row r="327" spans="10:10" ht="11.25" customHeight="1">
      <c r="J327" s="111"/>
    </row>
    <row r="328" spans="10:10" ht="11.25" customHeight="1">
      <c r="J328" s="111"/>
    </row>
    <row r="329" spans="10:10" ht="11.25" customHeight="1">
      <c r="J329" s="111"/>
    </row>
    <row r="330" spans="10:10" ht="11.25" customHeight="1">
      <c r="J330" s="111"/>
    </row>
    <row r="331" spans="10:10" ht="11.25" customHeight="1">
      <c r="J331" s="111"/>
    </row>
    <row r="332" spans="10:10" ht="11.25" customHeight="1">
      <c r="J332" s="111"/>
    </row>
    <row r="333" spans="10:10" ht="11.25" customHeight="1">
      <c r="J333" s="111"/>
    </row>
    <row r="334" spans="10:10" ht="11.25" customHeight="1">
      <c r="J334" s="111"/>
    </row>
    <row r="335" spans="10:10" ht="11.25" customHeight="1">
      <c r="J335" s="111"/>
    </row>
    <row r="336" spans="10:10" ht="11.25" customHeight="1">
      <c r="J336" s="111"/>
    </row>
    <row r="337" spans="10:10" ht="11.25" customHeight="1">
      <c r="J337" s="111"/>
    </row>
    <row r="338" spans="10:10" ht="11.25" customHeight="1">
      <c r="J338" s="111"/>
    </row>
    <row r="339" spans="10:10" ht="11.25" customHeight="1">
      <c r="J339" s="111"/>
    </row>
    <row r="340" spans="10:10" ht="11.25" customHeight="1">
      <c r="J340" s="111"/>
    </row>
    <row r="341" spans="10:10" ht="11.25" customHeight="1">
      <c r="J341" s="111"/>
    </row>
    <row r="342" spans="10:10" ht="11.25" customHeight="1">
      <c r="J342" s="111"/>
    </row>
    <row r="343" spans="10:10" ht="11.25" customHeight="1">
      <c r="J343" s="111"/>
    </row>
    <row r="344" spans="10:10" ht="11.25" customHeight="1">
      <c r="J344" s="111"/>
    </row>
    <row r="345" spans="10:10" ht="11.25" customHeight="1">
      <c r="J345" s="111"/>
    </row>
    <row r="346" spans="10:10" ht="11.25" customHeight="1">
      <c r="J346" s="111"/>
    </row>
    <row r="347" spans="10:10" ht="11.25" customHeight="1">
      <c r="J347" s="111"/>
    </row>
    <row r="348" spans="10:10" ht="11.25" customHeight="1">
      <c r="J348" s="111"/>
    </row>
    <row r="349" spans="10:10" ht="11.25" customHeight="1">
      <c r="J349" s="111"/>
    </row>
    <row r="350" spans="10:10" ht="11.25" customHeight="1">
      <c r="J350" s="111"/>
    </row>
    <row r="351" spans="10:10" ht="11.25" customHeight="1">
      <c r="J351" s="111"/>
    </row>
    <row r="352" spans="10:10" ht="11.25" customHeight="1">
      <c r="J352" s="111"/>
    </row>
    <row r="353" spans="10:10" ht="11.25" customHeight="1">
      <c r="J353" s="111"/>
    </row>
    <row r="354" spans="10:10" ht="11.25" customHeight="1">
      <c r="J354" s="111"/>
    </row>
    <row r="355" spans="10:10" ht="11.25" customHeight="1">
      <c r="J355" s="111"/>
    </row>
    <row r="356" spans="10:10" ht="11.25" customHeight="1">
      <c r="J356" s="111"/>
    </row>
    <row r="357" spans="10:10" ht="11.25" customHeight="1">
      <c r="J357" s="111"/>
    </row>
    <row r="358" spans="10:10" ht="11.25" customHeight="1">
      <c r="J358" s="111"/>
    </row>
    <row r="359" spans="10:10" ht="11.25" customHeight="1">
      <c r="J359" s="111"/>
    </row>
    <row r="360" spans="10:10" ht="11.25" customHeight="1">
      <c r="J360" s="111"/>
    </row>
    <row r="361" spans="10:10" ht="11.25" customHeight="1">
      <c r="J361" s="111"/>
    </row>
    <row r="362" spans="10:10" ht="11.25" customHeight="1">
      <c r="J362" s="111"/>
    </row>
    <row r="363" spans="10:10" ht="11.25" customHeight="1">
      <c r="J363" s="111"/>
    </row>
    <row r="364" spans="10:10" ht="11.25" customHeight="1">
      <c r="J364" s="111"/>
    </row>
    <row r="365" spans="10:10" ht="11.25" customHeight="1">
      <c r="J365" s="111"/>
    </row>
    <row r="366" spans="10:10" ht="11.25" customHeight="1">
      <c r="J366" s="111"/>
    </row>
    <row r="367" spans="10:10" ht="11.25" customHeight="1">
      <c r="J367" s="111"/>
    </row>
    <row r="368" spans="10:10" ht="11.25" customHeight="1">
      <c r="J368" s="111"/>
    </row>
    <row r="369" spans="10:10" ht="11.25" customHeight="1">
      <c r="J369" s="111"/>
    </row>
    <row r="370" spans="10:10" ht="11.25" customHeight="1">
      <c r="J370" s="111"/>
    </row>
    <row r="371" spans="10:10" ht="11.25" customHeight="1">
      <c r="J371" s="111"/>
    </row>
    <row r="372" spans="10:10" ht="11.25" customHeight="1">
      <c r="J372" s="111"/>
    </row>
    <row r="373" spans="10:10" ht="11.25" customHeight="1">
      <c r="J373" s="111"/>
    </row>
    <row r="374" spans="10:10" ht="11.25" customHeight="1">
      <c r="J374" s="111"/>
    </row>
    <row r="375" spans="10:10" ht="11.25" customHeight="1">
      <c r="J375" s="111"/>
    </row>
    <row r="376" spans="10:10" ht="11.25" customHeight="1">
      <c r="J376" s="111"/>
    </row>
    <row r="377" spans="10:10" ht="11.25" customHeight="1">
      <c r="J377" s="111"/>
    </row>
    <row r="378" spans="10:10" ht="11.25" customHeight="1">
      <c r="J378" s="111"/>
    </row>
    <row r="379" spans="10:10" ht="11.25" customHeight="1">
      <c r="J379" s="111"/>
    </row>
    <row r="380" spans="10:10" ht="11.25" customHeight="1">
      <c r="J380" s="111"/>
    </row>
    <row r="381" spans="10:10" ht="11.25" customHeight="1">
      <c r="J381" s="111"/>
    </row>
    <row r="382" spans="10:10" ht="11.25" customHeight="1">
      <c r="J382" s="111"/>
    </row>
    <row r="383" spans="10:10" ht="11.25" customHeight="1">
      <c r="J383" s="111"/>
    </row>
    <row r="384" spans="10:10" ht="11.25" customHeight="1">
      <c r="J384" s="111"/>
    </row>
    <row r="385" spans="10:10" ht="11.25" customHeight="1">
      <c r="J385" s="111"/>
    </row>
    <row r="386" spans="10:10" ht="11.25" customHeight="1">
      <c r="J386" s="111"/>
    </row>
    <row r="387" spans="10:10" ht="11.25" customHeight="1">
      <c r="J387" s="111"/>
    </row>
    <row r="388" spans="10:10" ht="11.25" customHeight="1">
      <c r="J388" s="111"/>
    </row>
    <row r="389" spans="10:10" ht="11.25" customHeight="1">
      <c r="J389" s="111"/>
    </row>
    <row r="390" spans="10:10" ht="11.25" customHeight="1">
      <c r="J390" s="111"/>
    </row>
    <row r="391" spans="10:10" ht="11.25" customHeight="1">
      <c r="J391" s="111"/>
    </row>
    <row r="392" spans="10:10" ht="11.25" customHeight="1">
      <c r="J392" s="111"/>
    </row>
    <row r="393" spans="10:10" ht="11.25" customHeight="1">
      <c r="J393" s="111"/>
    </row>
    <row r="394" spans="10:10" ht="11.25" customHeight="1">
      <c r="J394" s="111"/>
    </row>
    <row r="395" spans="10:10" ht="11.25" customHeight="1">
      <c r="J395" s="111"/>
    </row>
    <row r="396" spans="10:10" ht="11.25" customHeight="1">
      <c r="J396" s="111"/>
    </row>
    <row r="397" spans="10:10" ht="11.25" customHeight="1">
      <c r="J397" s="111"/>
    </row>
    <row r="398" spans="10:10" ht="11.25" customHeight="1">
      <c r="J398" s="111"/>
    </row>
    <row r="399" spans="10:10" ht="11.25" customHeight="1">
      <c r="J399" s="111"/>
    </row>
    <row r="400" spans="10:10" ht="11.25" customHeight="1">
      <c r="J400" s="111"/>
    </row>
    <row r="401" spans="10:10" ht="11.25" customHeight="1">
      <c r="J401" s="111"/>
    </row>
    <row r="402" spans="10:10" ht="11.25" customHeight="1">
      <c r="J402" s="111"/>
    </row>
    <row r="403" spans="10:10" ht="11.25" customHeight="1">
      <c r="J403" s="111"/>
    </row>
    <row r="404" spans="10:10" ht="11.25" customHeight="1">
      <c r="J404" s="111"/>
    </row>
    <row r="405" spans="10:10" ht="11.25" customHeight="1">
      <c r="J405" s="111"/>
    </row>
    <row r="406" spans="10:10" ht="11.25" customHeight="1">
      <c r="J406" s="111"/>
    </row>
    <row r="407" spans="10:10" ht="11.25" customHeight="1">
      <c r="J407" s="111"/>
    </row>
    <row r="408" spans="10:10" ht="11.25" customHeight="1">
      <c r="J408" s="111"/>
    </row>
    <row r="409" spans="10:10" ht="11.25" customHeight="1">
      <c r="J409" s="111"/>
    </row>
    <row r="410" spans="10:10" ht="11.25" customHeight="1">
      <c r="J410" s="111"/>
    </row>
    <row r="411" spans="10:10" ht="11.25" customHeight="1">
      <c r="J411" s="111"/>
    </row>
    <row r="412" spans="10:10" ht="11.25" customHeight="1">
      <c r="J412" s="111"/>
    </row>
    <row r="413" spans="10:10" ht="11.25" customHeight="1">
      <c r="J413" s="111"/>
    </row>
    <row r="414" spans="10:10" ht="11.25" customHeight="1">
      <c r="J414" s="111"/>
    </row>
    <row r="415" spans="10:10" ht="11.25" customHeight="1">
      <c r="J415" s="111"/>
    </row>
    <row r="416" spans="10:10" ht="11.25" customHeight="1">
      <c r="J416" s="111"/>
    </row>
    <row r="417" spans="10:10" ht="11.25" customHeight="1">
      <c r="J417" s="111"/>
    </row>
    <row r="418" spans="10:10" ht="11.25" customHeight="1">
      <c r="J418" s="111"/>
    </row>
    <row r="419" spans="10:10" ht="11.25" customHeight="1">
      <c r="J419" s="111"/>
    </row>
    <row r="420" spans="10:10" ht="11.25" customHeight="1">
      <c r="J420" s="111"/>
    </row>
    <row r="421" spans="10:10" ht="11.25" customHeight="1">
      <c r="J421" s="111"/>
    </row>
    <row r="422" spans="10:10" ht="11.25" customHeight="1">
      <c r="J422" s="111"/>
    </row>
    <row r="423" spans="10:10" ht="11.25" customHeight="1">
      <c r="J423" s="111"/>
    </row>
    <row r="424" spans="10:10" ht="11.25" customHeight="1">
      <c r="J424" s="111"/>
    </row>
    <row r="425" spans="10:10" ht="11.25" customHeight="1">
      <c r="J425" s="111"/>
    </row>
    <row r="426" spans="10:10" ht="11.25" customHeight="1">
      <c r="J426" s="111"/>
    </row>
    <row r="427" spans="10:10" ht="11.25" customHeight="1">
      <c r="J427" s="111"/>
    </row>
    <row r="428" spans="10:10" ht="11.25" customHeight="1">
      <c r="J428" s="111"/>
    </row>
    <row r="429" spans="10:10" ht="11.25" customHeight="1">
      <c r="J429" s="111"/>
    </row>
    <row r="430" spans="10:10" ht="11.25" customHeight="1">
      <c r="J430" s="111"/>
    </row>
    <row r="431" spans="10:10" ht="11.25" customHeight="1">
      <c r="J431" s="111"/>
    </row>
    <row r="432" spans="10:10" ht="11.25" customHeight="1">
      <c r="J432" s="111"/>
    </row>
    <row r="433" spans="10:10" ht="11.25" customHeight="1">
      <c r="J433" s="111"/>
    </row>
    <row r="434" spans="10:10" ht="11.25" customHeight="1">
      <c r="J434" s="111"/>
    </row>
    <row r="435" spans="10:10" ht="11.25" customHeight="1">
      <c r="J435" s="111"/>
    </row>
    <row r="436" spans="10:10" ht="11.25" customHeight="1">
      <c r="J436" s="111"/>
    </row>
    <row r="437" spans="10:10" ht="11.25" customHeight="1">
      <c r="J437" s="111"/>
    </row>
    <row r="438" spans="10:10" ht="11.25" customHeight="1">
      <c r="J438" s="111"/>
    </row>
    <row r="439" spans="10:10" ht="11.25" customHeight="1">
      <c r="J439" s="111"/>
    </row>
    <row r="440" spans="10:10" ht="11.25" customHeight="1">
      <c r="J440" s="111"/>
    </row>
    <row r="441" spans="10:10" ht="11.25" customHeight="1">
      <c r="J441" s="111"/>
    </row>
    <row r="442" spans="10:10" ht="11.25" customHeight="1">
      <c r="J442" s="111"/>
    </row>
    <row r="443" spans="10:10" ht="11.25" customHeight="1">
      <c r="J443" s="111"/>
    </row>
    <row r="444" spans="10:10" ht="11.25" customHeight="1">
      <c r="J444" s="111"/>
    </row>
    <row r="445" spans="10:10" ht="11.25" customHeight="1">
      <c r="J445" s="111"/>
    </row>
    <row r="446" spans="10:10" ht="11.25" customHeight="1">
      <c r="J446" s="111"/>
    </row>
    <row r="447" spans="10:10" ht="11.25" customHeight="1">
      <c r="J447" s="111"/>
    </row>
    <row r="448" spans="10:10" ht="11.25" customHeight="1">
      <c r="J448" s="111"/>
    </row>
    <row r="449" spans="10:10" ht="11.25" customHeight="1">
      <c r="J449" s="111"/>
    </row>
    <row r="450" spans="10:10" ht="11.25" customHeight="1">
      <c r="J450" s="111"/>
    </row>
    <row r="451" spans="10:10" ht="11.25" customHeight="1">
      <c r="J451" s="111"/>
    </row>
    <row r="452" spans="10:10" ht="11.25" customHeight="1">
      <c r="J452" s="111"/>
    </row>
    <row r="453" spans="10:10" ht="11.25" customHeight="1">
      <c r="J453" s="111"/>
    </row>
    <row r="454" spans="10:10" ht="11.25" customHeight="1">
      <c r="J454" s="111"/>
    </row>
    <row r="455" spans="10:10" ht="11.25" customHeight="1">
      <c r="J455" s="111"/>
    </row>
    <row r="456" spans="10:10" ht="11.25" customHeight="1">
      <c r="J456" s="111"/>
    </row>
    <row r="457" spans="10:10" ht="11.25" customHeight="1">
      <c r="J457" s="111"/>
    </row>
    <row r="458" spans="10:10" ht="11.25" customHeight="1">
      <c r="J458" s="111"/>
    </row>
    <row r="459" spans="10:10" ht="11.25" customHeight="1">
      <c r="J459" s="111"/>
    </row>
    <row r="460" spans="10:10" ht="11.25" customHeight="1">
      <c r="J460" s="111"/>
    </row>
    <row r="461" spans="10:10" ht="11.25" customHeight="1">
      <c r="J461" s="111"/>
    </row>
    <row r="462" spans="10:10" ht="11.25" customHeight="1">
      <c r="J462" s="111"/>
    </row>
    <row r="463" spans="10:10" ht="11.25" customHeight="1">
      <c r="J463" s="111"/>
    </row>
    <row r="464" spans="10:10" ht="11.25" customHeight="1">
      <c r="J464" s="111"/>
    </row>
    <row r="465" spans="10:10" ht="11.25" customHeight="1">
      <c r="J465" s="111"/>
    </row>
    <row r="466" spans="10:10" ht="11.25" customHeight="1">
      <c r="J466" s="111"/>
    </row>
    <row r="467" spans="10:10" ht="11.25" customHeight="1">
      <c r="J467" s="111"/>
    </row>
    <row r="468" spans="10:10" ht="11.25" customHeight="1">
      <c r="J468" s="111"/>
    </row>
    <row r="469" spans="10:10" ht="11.25" customHeight="1">
      <c r="J469" s="111"/>
    </row>
    <row r="470" spans="10:10" ht="11.25" customHeight="1">
      <c r="J470" s="111"/>
    </row>
    <row r="471" spans="10:10" ht="11.25" customHeight="1">
      <c r="J471" s="111"/>
    </row>
    <row r="472" spans="10:10" ht="11.25" customHeight="1">
      <c r="J472" s="111"/>
    </row>
    <row r="473" spans="10:10" ht="11.25" customHeight="1">
      <c r="J473" s="111"/>
    </row>
    <row r="474" spans="10:10" ht="11.25" customHeight="1">
      <c r="J474" s="111"/>
    </row>
    <row r="475" spans="10:10" ht="11.25" customHeight="1">
      <c r="J475" s="111"/>
    </row>
    <row r="476" spans="10:10" ht="11.25" customHeight="1">
      <c r="J476" s="111"/>
    </row>
    <row r="477" spans="10:10" ht="11.25" customHeight="1">
      <c r="J477" s="111"/>
    </row>
    <row r="478" spans="10:10" ht="11.25" customHeight="1">
      <c r="J478" s="111"/>
    </row>
    <row r="479" spans="10:10" ht="11.25" customHeight="1">
      <c r="J479" s="111"/>
    </row>
    <row r="480" spans="10:10" ht="11.25" customHeight="1">
      <c r="J480" s="111"/>
    </row>
    <row r="481" spans="10:10" ht="11.25" customHeight="1">
      <c r="J481" s="111"/>
    </row>
    <row r="482" spans="10:10" ht="11.25" customHeight="1">
      <c r="J482" s="111"/>
    </row>
    <row r="483" spans="10:10" ht="11.25" customHeight="1">
      <c r="J483" s="111"/>
    </row>
    <row r="484" spans="10:10" ht="11.25" customHeight="1">
      <c r="J484" s="111"/>
    </row>
    <row r="485" spans="10:10" ht="11.25" customHeight="1">
      <c r="J485" s="111"/>
    </row>
    <row r="486" spans="10:10" ht="11.25" customHeight="1">
      <c r="J486" s="111"/>
    </row>
    <row r="487" spans="10:10" ht="11.25" customHeight="1">
      <c r="J487" s="111"/>
    </row>
    <row r="488" spans="10:10" ht="11.25" customHeight="1">
      <c r="J488" s="111"/>
    </row>
    <row r="489" spans="10:10" ht="11.25" customHeight="1">
      <c r="J489" s="111"/>
    </row>
    <row r="490" spans="10:10" ht="11.25" customHeight="1">
      <c r="J490" s="111"/>
    </row>
    <row r="491" spans="10:10" ht="11.25" customHeight="1">
      <c r="J491" s="111"/>
    </row>
    <row r="492" spans="10:10" ht="11.25" customHeight="1">
      <c r="J492" s="111"/>
    </row>
    <row r="493" spans="10:10" ht="11.25" customHeight="1">
      <c r="J493" s="111"/>
    </row>
    <row r="494" spans="10:10" ht="11.25" customHeight="1">
      <c r="J494" s="111"/>
    </row>
    <row r="495" spans="10:10" ht="11.25" customHeight="1">
      <c r="J495" s="111"/>
    </row>
    <row r="496" spans="10:10" ht="11.25" customHeight="1">
      <c r="J496" s="111"/>
    </row>
    <row r="497" spans="10:10" ht="11.25" customHeight="1">
      <c r="J497" s="111"/>
    </row>
    <row r="498" spans="10:10" ht="11.25" customHeight="1">
      <c r="J498" s="111"/>
    </row>
    <row r="499" spans="10:10" ht="11.25" customHeight="1">
      <c r="J499" s="111"/>
    </row>
    <row r="500" spans="10:10" ht="11.25" customHeight="1">
      <c r="J500" s="111"/>
    </row>
    <row r="501" spans="10:10" ht="11.25" customHeight="1">
      <c r="J501" s="111"/>
    </row>
    <row r="502" spans="10:10" ht="11.25" customHeight="1">
      <c r="J502" s="111"/>
    </row>
    <row r="503" spans="10:10" ht="11.25" customHeight="1">
      <c r="J503" s="111"/>
    </row>
    <row r="504" spans="10:10" ht="11.25" customHeight="1">
      <c r="J504" s="111"/>
    </row>
    <row r="505" spans="10:10" ht="11.25" customHeight="1">
      <c r="J505" s="111"/>
    </row>
    <row r="506" spans="10:10" ht="11.25" customHeight="1">
      <c r="J506" s="111"/>
    </row>
    <row r="507" spans="10:10" ht="11.25" customHeight="1">
      <c r="J507" s="111"/>
    </row>
    <row r="508" spans="10:10" ht="11.25" customHeight="1">
      <c r="J508" s="111"/>
    </row>
    <row r="509" spans="10:10" ht="11.25" customHeight="1">
      <c r="J509" s="111"/>
    </row>
    <row r="510" spans="10:10" ht="11.25" customHeight="1">
      <c r="J510" s="111"/>
    </row>
    <row r="511" spans="10:10" ht="11.25" customHeight="1">
      <c r="J511" s="111"/>
    </row>
    <row r="512" spans="10:10" ht="11.25" customHeight="1">
      <c r="J512" s="111"/>
    </row>
    <row r="513" spans="10:10" ht="11.25" customHeight="1">
      <c r="J513" s="111"/>
    </row>
    <row r="514" spans="10:10" ht="11.25" customHeight="1">
      <c r="J514" s="111"/>
    </row>
    <row r="515" spans="10:10" ht="11.25" customHeight="1">
      <c r="J515" s="111"/>
    </row>
    <row r="516" spans="10:10" ht="11.25" customHeight="1">
      <c r="J516" s="111"/>
    </row>
    <row r="517" spans="10:10" ht="11.25" customHeight="1">
      <c r="J517" s="111"/>
    </row>
    <row r="518" spans="10:10" ht="11.25" customHeight="1">
      <c r="J518" s="111"/>
    </row>
    <row r="519" spans="10:10" ht="11.25" customHeight="1">
      <c r="J519" s="111"/>
    </row>
    <row r="520" spans="10:10" ht="11.25" customHeight="1">
      <c r="J520" s="111"/>
    </row>
    <row r="521" spans="10:10" ht="11.25" customHeight="1">
      <c r="J521" s="111"/>
    </row>
    <row r="522" spans="10:10" ht="11.25" customHeight="1">
      <c r="J522" s="111"/>
    </row>
    <row r="523" spans="10:10" ht="11.25" customHeight="1">
      <c r="J523" s="111"/>
    </row>
    <row r="524" spans="10:10" ht="11.25" customHeight="1">
      <c r="J524" s="111"/>
    </row>
    <row r="525" spans="10:10" ht="11.25" customHeight="1">
      <c r="J525" s="111"/>
    </row>
    <row r="526" spans="10:10" ht="11.25" customHeight="1">
      <c r="J526" s="111"/>
    </row>
    <row r="527" spans="10:10" ht="11.25" customHeight="1">
      <c r="J527" s="111"/>
    </row>
    <row r="528" spans="10:10" ht="11.25" customHeight="1">
      <c r="J528" s="111"/>
    </row>
    <row r="529" spans="10:10" ht="11.25" customHeight="1">
      <c r="J529" s="111"/>
    </row>
    <row r="530" spans="10:10" ht="11.25" customHeight="1">
      <c r="J530" s="111"/>
    </row>
    <row r="531" spans="10:10" ht="11.25" customHeight="1">
      <c r="J531" s="111"/>
    </row>
    <row r="532" spans="10:10" ht="11.25" customHeight="1">
      <c r="J532" s="111"/>
    </row>
    <row r="533" spans="10:10" ht="11.25" customHeight="1">
      <c r="J533" s="111"/>
    </row>
    <row r="534" spans="10:10" ht="11.25" customHeight="1">
      <c r="J534" s="111"/>
    </row>
    <row r="535" spans="10:10" ht="11.25" customHeight="1">
      <c r="J535" s="111"/>
    </row>
    <row r="536" spans="10:10" ht="11.25" customHeight="1">
      <c r="J536" s="111"/>
    </row>
    <row r="537" spans="10:10" ht="11.25" customHeight="1">
      <c r="J537" s="111"/>
    </row>
    <row r="538" spans="10:10" ht="11.25" customHeight="1">
      <c r="J538" s="111"/>
    </row>
    <row r="539" spans="10:10" ht="11.25" customHeight="1">
      <c r="J539" s="111"/>
    </row>
    <row r="540" spans="10:10" ht="11.25" customHeight="1">
      <c r="J540" s="111"/>
    </row>
    <row r="541" spans="10:10" ht="11.25" customHeight="1">
      <c r="J541" s="111"/>
    </row>
    <row r="542" spans="10:10" ht="11.25" customHeight="1">
      <c r="J542" s="111"/>
    </row>
    <row r="543" spans="10:10" ht="11.25" customHeight="1">
      <c r="J543" s="111"/>
    </row>
    <row r="544" spans="10:10" ht="11.25" customHeight="1">
      <c r="J544" s="111"/>
    </row>
    <row r="545" spans="10:10" ht="11.25" customHeight="1">
      <c r="J545" s="111"/>
    </row>
    <row r="546" spans="10:10" ht="11.25" customHeight="1">
      <c r="J546" s="111"/>
    </row>
    <row r="547" spans="10:10" ht="11.25" customHeight="1">
      <c r="J547" s="111"/>
    </row>
    <row r="548" spans="10:10" ht="11.25" customHeight="1">
      <c r="J548" s="111"/>
    </row>
    <row r="549" spans="10:10" ht="11.25" customHeight="1">
      <c r="J549" s="111"/>
    </row>
    <row r="550" spans="10:10" ht="11.25" customHeight="1">
      <c r="J550" s="111"/>
    </row>
    <row r="551" spans="10:10" ht="11.25" customHeight="1">
      <c r="J551" s="111"/>
    </row>
    <row r="552" spans="10:10" ht="11.25" customHeight="1">
      <c r="J552" s="111"/>
    </row>
    <row r="553" spans="10:10" ht="11.25" customHeight="1">
      <c r="J553" s="111"/>
    </row>
    <row r="554" spans="10:10" ht="11.25" customHeight="1">
      <c r="J554" s="111"/>
    </row>
    <row r="555" spans="10:10" ht="11.25" customHeight="1">
      <c r="J555" s="111"/>
    </row>
    <row r="556" spans="10:10" ht="11.25" customHeight="1">
      <c r="J556" s="111"/>
    </row>
    <row r="557" spans="10:10" ht="11.25" customHeight="1">
      <c r="J557" s="111"/>
    </row>
    <row r="558" spans="10:10" ht="11.25" customHeight="1">
      <c r="J558" s="111"/>
    </row>
    <row r="559" spans="10:10" ht="11.25" customHeight="1">
      <c r="J559" s="111"/>
    </row>
    <row r="560" spans="10:10" ht="11.25" customHeight="1">
      <c r="J560" s="111"/>
    </row>
    <row r="561" spans="10:10" ht="11.25" customHeight="1">
      <c r="J561" s="111"/>
    </row>
    <row r="562" spans="10:10" ht="11.25" customHeight="1">
      <c r="J562" s="111"/>
    </row>
    <row r="563" spans="10:10" ht="11.25" customHeight="1">
      <c r="J563" s="111"/>
    </row>
    <row r="564" spans="10:10" ht="11.25" customHeight="1">
      <c r="J564" s="111"/>
    </row>
    <row r="565" spans="10:10" ht="11.25" customHeight="1">
      <c r="J565" s="111"/>
    </row>
    <row r="566" spans="10:10" ht="11.25" customHeight="1">
      <c r="J566" s="111"/>
    </row>
    <row r="567" spans="10:10" ht="11.25" customHeight="1">
      <c r="J567" s="111"/>
    </row>
    <row r="568" spans="10:10" ht="11.25" customHeight="1">
      <c r="J568" s="111"/>
    </row>
    <row r="569" spans="10:10" ht="11.25" customHeight="1">
      <c r="J569" s="111"/>
    </row>
    <row r="570" spans="10:10" ht="11.25" customHeight="1">
      <c r="J570" s="111"/>
    </row>
    <row r="571" spans="10:10" ht="11.25" customHeight="1">
      <c r="J571" s="111"/>
    </row>
    <row r="572" spans="10:10" ht="11.25" customHeight="1">
      <c r="J572" s="111"/>
    </row>
    <row r="573" spans="10:10" ht="11.25" customHeight="1">
      <c r="J573" s="111"/>
    </row>
    <row r="574" spans="10:10" ht="11.25" customHeight="1">
      <c r="J574" s="111"/>
    </row>
    <row r="575" spans="10:10" ht="11.25" customHeight="1">
      <c r="J575" s="111"/>
    </row>
    <row r="576" spans="10:10" ht="11.25" customHeight="1">
      <c r="J576" s="111"/>
    </row>
    <row r="577" spans="10:10" ht="11.25" customHeight="1">
      <c r="J577" s="111"/>
    </row>
    <row r="578" spans="10:10" ht="11.25" customHeight="1">
      <c r="J578" s="111"/>
    </row>
    <row r="579" spans="10:10" ht="11.25" customHeight="1">
      <c r="J579" s="111"/>
    </row>
    <row r="580" spans="10:10" ht="11.25" customHeight="1">
      <c r="J580" s="111"/>
    </row>
    <row r="581" spans="10:10" ht="11.25" customHeight="1">
      <c r="J581" s="111"/>
    </row>
    <row r="582" spans="10:10" ht="11.25" customHeight="1">
      <c r="J582" s="111"/>
    </row>
    <row r="583" spans="10:10" ht="11.25" customHeight="1">
      <c r="J583" s="111"/>
    </row>
    <row r="584" spans="10:10" ht="11.25" customHeight="1">
      <c r="J584" s="111"/>
    </row>
    <row r="585" spans="10:10" ht="11.25" customHeight="1">
      <c r="J585" s="111"/>
    </row>
    <row r="586" spans="10:10" ht="11.25" customHeight="1">
      <c r="J586" s="111"/>
    </row>
    <row r="587" spans="10:10" ht="11.25" customHeight="1">
      <c r="J587" s="111"/>
    </row>
    <row r="588" spans="10:10" ht="11.25" customHeight="1">
      <c r="J588" s="111"/>
    </row>
    <row r="589" spans="10:10" ht="11.25" customHeight="1">
      <c r="J589" s="111"/>
    </row>
    <row r="590" spans="10:10" ht="11.25" customHeight="1">
      <c r="J590" s="111"/>
    </row>
    <row r="591" spans="10:10" ht="11.25" customHeight="1">
      <c r="J591" s="111"/>
    </row>
    <row r="592" spans="10:10" ht="11.25" customHeight="1">
      <c r="J592" s="111"/>
    </row>
    <row r="593" spans="10:10" ht="11.25" customHeight="1">
      <c r="J593" s="111"/>
    </row>
    <row r="594" spans="10:10" ht="11.25" customHeight="1">
      <c r="J594" s="111"/>
    </row>
    <row r="595" spans="10:10" ht="11.25" customHeight="1">
      <c r="J595" s="111"/>
    </row>
    <row r="596" spans="10:10" ht="11.25" customHeight="1">
      <c r="J596" s="111"/>
    </row>
    <row r="597" spans="10:10" ht="11.25" customHeight="1">
      <c r="J597" s="111"/>
    </row>
    <row r="598" spans="10:10" ht="11.25" customHeight="1">
      <c r="J598" s="111"/>
    </row>
    <row r="599" spans="10:10" ht="11.25" customHeight="1">
      <c r="J599" s="111"/>
    </row>
    <row r="600" spans="10:10" ht="11.25" customHeight="1">
      <c r="J600" s="111"/>
    </row>
    <row r="601" spans="10:10" ht="11.25" customHeight="1">
      <c r="J601" s="111"/>
    </row>
    <row r="602" spans="10:10" ht="11.25" customHeight="1">
      <c r="J602" s="111"/>
    </row>
    <row r="603" spans="10:10" ht="11.25" customHeight="1">
      <c r="J603" s="111"/>
    </row>
    <row r="604" spans="10:10" ht="11.25" customHeight="1">
      <c r="J604" s="111"/>
    </row>
    <row r="605" spans="10:10" ht="11.25" customHeight="1">
      <c r="J605" s="111"/>
    </row>
    <row r="606" spans="10:10" ht="11.25" customHeight="1">
      <c r="J606" s="111"/>
    </row>
    <row r="607" spans="10:10" ht="11.25" customHeight="1">
      <c r="J607" s="111"/>
    </row>
    <row r="608" spans="10:10" ht="11.25" customHeight="1">
      <c r="J608" s="111"/>
    </row>
    <row r="609" spans="10:10" ht="11.25" customHeight="1">
      <c r="J609" s="111"/>
    </row>
    <row r="610" spans="10:10" ht="11.25" customHeight="1">
      <c r="J610" s="111"/>
    </row>
    <row r="611" spans="10:10" ht="11.25" customHeight="1">
      <c r="J611" s="111"/>
    </row>
    <row r="612" spans="10:10" ht="11.25" customHeight="1">
      <c r="J612" s="111"/>
    </row>
    <row r="613" spans="10:10" ht="11.25" customHeight="1">
      <c r="J613" s="111"/>
    </row>
    <row r="614" spans="10:10" ht="11.25" customHeight="1">
      <c r="J614" s="111"/>
    </row>
    <row r="615" spans="10:10" ht="11.25" customHeight="1">
      <c r="J615" s="111"/>
    </row>
    <row r="616" spans="10:10" ht="11.25" customHeight="1">
      <c r="J616" s="111"/>
    </row>
    <row r="617" spans="10:10" ht="11.25" customHeight="1">
      <c r="J617" s="111"/>
    </row>
    <row r="618" spans="10:10" ht="11.25" customHeight="1">
      <c r="J618" s="111"/>
    </row>
    <row r="619" spans="10:10" ht="11.25" customHeight="1">
      <c r="J619" s="111"/>
    </row>
    <row r="620" spans="10:10" ht="11.25" customHeight="1">
      <c r="J620" s="111"/>
    </row>
    <row r="621" spans="10:10" ht="11.25" customHeight="1">
      <c r="J621" s="111"/>
    </row>
    <row r="622" spans="10:10" ht="11.25" customHeight="1">
      <c r="J622" s="111"/>
    </row>
    <row r="623" spans="10:10" ht="11.25" customHeight="1">
      <c r="J623" s="111"/>
    </row>
    <row r="624" spans="10:10" ht="11.25" customHeight="1">
      <c r="J624" s="111"/>
    </row>
    <row r="625" spans="10:10" ht="11.25" customHeight="1">
      <c r="J625" s="111"/>
    </row>
    <row r="626" spans="10:10" ht="11.25" customHeight="1">
      <c r="J626" s="111"/>
    </row>
    <row r="627" spans="10:10" ht="11.25" customHeight="1">
      <c r="J627" s="111"/>
    </row>
    <row r="628" spans="10:10" ht="11.25" customHeight="1">
      <c r="J628" s="111"/>
    </row>
    <row r="629" spans="10:10" ht="11.25" customHeight="1">
      <c r="J629" s="111"/>
    </row>
    <row r="630" spans="10:10" ht="11.25" customHeight="1">
      <c r="J630" s="111"/>
    </row>
    <row r="631" spans="10:10" ht="11.25" customHeight="1">
      <c r="J631" s="111"/>
    </row>
    <row r="632" spans="10:10" ht="11.25" customHeight="1">
      <c r="J632" s="111"/>
    </row>
    <row r="633" spans="10:10" ht="11.25" customHeight="1">
      <c r="J633" s="111"/>
    </row>
    <row r="634" spans="10:10" ht="11.25" customHeight="1">
      <c r="J634" s="111"/>
    </row>
    <row r="635" spans="10:10" ht="11.25" customHeight="1">
      <c r="J635" s="111"/>
    </row>
    <row r="636" spans="10:10" ht="11.25" customHeight="1">
      <c r="J636" s="111"/>
    </row>
    <row r="637" spans="10:10" ht="11.25" customHeight="1">
      <c r="J637" s="111"/>
    </row>
    <row r="638" spans="10:10" ht="11.25" customHeight="1">
      <c r="J638" s="111"/>
    </row>
    <row r="639" spans="10:10" ht="11.25" customHeight="1">
      <c r="J639" s="111"/>
    </row>
    <row r="640" spans="10:10" ht="11.25" customHeight="1">
      <c r="J640" s="111"/>
    </row>
    <row r="641" spans="10:10" ht="11.25" customHeight="1">
      <c r="J641" s="111"/>
    </row>
    <row r="642" spans="10:10" ht="11.25" customHeight="1">
      <c r="J642" s="111"/>
    </row>
    <row r="643" spans="10:10" ht="11.25" customHeight="1">
      <c r="J643" s="111"/>
    </row>
    <row r="644" spans="10:10" ht="11.25" customHeight="1">
      <c r="J644" s="111"/>
    </row>
    <row r="645" spans="10:10" ht="11.25" customHeight="1">
      <c r="J645" s="111"/>
    </row>
    <row r="646" spans="10:10" ht="11.25" customHeight="1">
      <c r="J646" s="111"/>
    </row>
    <row r="647" spans="10:10" ht="11.25" customHeight="1">
      <c r="J647" s="111"/>
    </row>
    <row r="648" spans="10:10" ht="11.25" customHeight="1">
      <c r="J648" s="111"/>
    </row>
    <row r="649" spans="10:10" ht="11.25" customHeight="1">
      <c r="J649" s="111"/>
    </row>
    <row r="650" spans="10:10" ht="11.25" customHeight="1">
      <c r="J650" s="111"/>
    </row>
    <row r="651" spans="10:10" ht="11.25" customHeight="1">
      <c r="J651" s="111"/>
    </row>
    <row r="652" spans="10:10" ht="11.25" customHeight="1">
      <c r="J652" s="111"/>
    </row>
    <row r="653" spans="10:10" ht="11.25" customHeight="1">
      <c r="J653" s="111"/>
    </row>
    <row r="654" spans="10:10" ht="11.25" customHeight="1">
      <c r="J654" s="111"/>
    </row>
    <row r="655" spans="10:10" ht="11.25" customHeight="1">
      <c r="J655" s="111"/>
    </row>
    <row r="656" spans="10:10" ht="11.25" customHeight="1">
      <c r="J656" s="111"/>
    </row>
    <row r="657" spans="10:10" ht="11.25" customHeight="1">
      <c r="J657" s="111"/>
    </row>
    <row r="658" spans="10:10" ht="11.25" customHeight="1">
      <c r="J658" s="111"/>
    </row>
    <row r="659" spans="10:10" ht="11.25" customHeight="1">
      <c r="J659" s="111"/>
    </row>
    <row r="660" spans="10:10" ht="11.25" customHeight="1">
      <c r="J660" s="111"/>
    </row>
    <row r="661" spans="10:10" ht="11.25" customHeight="1">
      <c r="J661" s="111"/>
    </row>
    <row r="662" spans="10:10" ht="11.25" customHeight="1">
      <c r="J662" s="111"/>
    </row>
    <row r="663" spans="10:10" ht="11.25" customHeight="1">
      <c r="J663" s="111"/>
    </row>
    <row r="664" spans="10:10" ht="11.25" customHeight="1">
      <c r="J664" s="111"/>
    </row>
    <row r="665" spans="10:10" ht="11.25" customHeight="1">
      <c r="J665" s="111"/>
    </row>
    <row r="666" spans="10:10" ht="11.25" customHeight="1">
      <c r="J666" s="111"/>
    </row>
    <row r="667" spans="10:10" ht="11.25" customHeight="1">
      <c r="J667" s="111"/>
    </row>
    <row r="668" spans="10:10" ht="11.25" customHeight="1">
      <c r="J668" s="111"/>
    </row>
    <row r="669" spans="10:10" ht="11.25" customHeight="1">
      <c r="J669" s="111"/>
    </row>
    <row r="670" spans="10:10" ht="11.25" customHeight="1">
      <c r="J670" s="111"/>
    </row>
    <row r="671" spans="10:10" ht="11.25" customHeight="1">
      <c r="J671" s="111"/>
    </row>
    <row r="672" spans="10:10" ht="11.25" customHeight="1">
      <c r="J672" s="111"/>
    </row>
    <row r="673" spans="10:10" ht="11.25" customHeight="1">
      <c r="J673" s="111"/>
    </row>
    <row r="674" spans="10:10" ht="11.25" customHeight="1">
      <c r="J674" s="111"/>
    </row>
    <row r="675" spans="10:10" ht="11.25" customHeight="1">
      <c r="J675" s="111"/>
    </row>
    <row r="676" spans="10:10" ht="11.25" customHeight="1">
      <c r="J676" s="111"/>
    </row>
    <row r="677" spans="10:10" ht="11.25" customHeight="1">
      <c r="J677" s="111"/>
    </row>
    <row r="678" spans="10:10" ht="11.25" customHeight="1">
      <c r="J678" s="111"/>
    </row>
    <row r="679" spans="10:10" ht="11.25" customHeight="1">
      <c r="J679" s="111"/>
    </row>
    <row r="680" spans="10:10" ht="11.25" customHeight="1">
      <c r="J680" s="111"/>
    </row>
    <row r="681" spans="10:10" ht="11.25" customHeight="1">
      <c r="J681" s="111"/>
    </row>
    <row r="682" spans="10:10" ht="11.25" customHeight="1">
      <c r="J682" s="111"/>
    </row>
    <row r="683" spans="10:10" ht="11.25" customHeight="1">
      <c r="J683" s="111"/>
    </row>
    <row r="684" spans="10:10" ht="11.25" customHeight="1">
      <c r="J684" s="111"/>
    </row>
    <row r="685" spans="10:10" ht="11.25" customHeight="1">
      <c r="J685" s="111"/>
    </row>
    <row r="686" spans="10:10" ht="11.25" customHeight="1">
      <c r="J686" s="111"/>
    </row>
    <row r="687" spans="10:10" ht="11.25" customHeight="1">
      <c r="J687" s="111"/>
    </row>
    <row r="688" spans="10:10" ht="11.25" customHeight="1">
      <c r="J688" s="111"/>
    </row>
    <row r="689" spans="10:10" ht="11.25" customHeight="1">
      <c r="J689" s="111"/>
    </row>
    <row r="690" spans="10:10" ht="11.25" customHeight="1">
      <c r="J690" s="111"/>
    </row>
    <row r="691" spans="10:10" ht="11.25" customHeight="1">
      <c r="J691" s="111"/>
    </row>
    <row r="692" spans="10:10" ht="11.25" customHeight="1">
      <c r="J692" s="111"/>
    </row>
    <row r="693" spans="10:10" ht="11.25" customHeight="1">
      <c r="J693" s="111"/>
    </row>
    <row r="694" spans="10:10" ht="11.25" customHeight="1">
      <c r="J694" s="111"/>
    </row>
    <row r="695" spans="10:10" ht="11.25" customHeight="1">
      <c r="J695" s="111"/>
    </row>
    <row r="696" spans="10:10" ht="11.25" customHeight="1">
      <c r="J696" s="111"/>
    </row>
    <row r="697" spans="10:10" ht="11.25" customHeight="1">
      <c r="J697" s="111"/>
    </row>
    <row r="698" spans="10:10" ht="11.25" customHeight="1">
      <c r="J698" s="111"/>
    </row>
    <row r="699" spans="10:10" ht="11.25" customHeight="1">
      <c r="J699" s="111"/>
    </row>
    <row r="700" spans="10:10" ht="11.25" customHeight="1">
      <c r="J700" s="111"/>
    </row>
    <row r="701" spans="10:10" ht="11.25" customHeight="1">
      <c r="J701" s="111"/>
    </row>
    <row r="702" spans="10:10" ht="11.25" customHeight="1">
      <c r="J702" s="111"/>
    </row>
    <row r="703" spans="10:10" ht="11.25" customHeight="1">
      <c r="J703" s="111"/>
    </row>
    <row r="704" spans="10:10" ht="11.25" customHeight="1">
      <c r="J704" s="111"/>
    </row>
    <row r="705" spans="10:10" ht="11.25" customHeight="1">
      <c r="J705" s="111"/>
    </row>
    <row r="706" spans="10:10" ht="11.25" customHeight="1">
      <c r="J706" s="111"/>
    </row>
    <row r="707" spans="10:10" ht="11.25" customHeight="1">
      <c r="J707" s="111"/>
    </row>
    <row r="708" spans="10:10" ht="11.25" customHeight="1">
      <c r="J708" s="111"/>
    </row>
    <row r="709" spans="10:10" ht="11.25" customHeight="1">
      <c r="J709" s="111"/>
    </row>
    <row r="710" spans="10:10" ht="11.25" customHeight="1">
      <c r="J710" s="111"/>
    </row>
    <row r="711" spans="10:10" ht="11.25" customHeight="1">
      <c r="J711" s="111"/>
    </row>
    <row r="712" spans="10:10" ht="11.25" customHeight="1">
      <c r="J712" s="111"/>
    </row>
    <row r="713" spans="10:10" ht="11.25" customHeight="1">
      <c r="J713" s="111"/>
    </row>
    <row r="714" spans="10:10" ht="11.25" customHeight="1">
      <c r="J714" s="111"/>
    </row>
    <row r="715" spans="10:10" ht="11.25" customHeight="1">
      <c r="J715" s="111"/>
    </row>
    <row r="716" spans="10:10" ht="11.25" customHeight="1">
      <c r="J716" s="111"/>
    </row>
    <row r="717" spans="10:10" ht="11.25" customHeight="1">
      <c r="J717" s="111"/>
    </row>
    <row r="718" spans="10:10" ht="11.25" customHeight="1">
      <c r="J718" s="111"/>
    </row>
    <row r="719" spans="10:10" ht="11.25" customHeight="1">
      <c r="J719" s="111"/>
    </row>
    <row r="720" spans="10:10" ht="11.25" customHeight="1">
      <c r="J720" s="111"/>
    </row>
    <row r="721" spans="10:10" ht="11.25" customHeight="1">
      <c r="J721" s="111"/>
    </row>
    <row r="722" spans="10:10" ht="11.25" customHeight="1">
      <c r="J722" s="111"/>
    </row>
    <row r="723" spans="10:10" ht="11.25" customHeight="1">
      <c r="J723" s="111"/>
    </row>
    <row r="724" spans="10:10" ht="11.25" customHeight="1">
      <c r="J724" s="111"/>
    </row>
    <row r="725" spans="10:10" ht="11.25" customHeight="1">
      <c r="J725" s="111"/>
    </row>
    <row r="726" spans="10:10" ht="11.25" customHeight="1">
      <c r="J726" s="111"/>
    </row>
    <row r="727" spans="10:10" ht="11.25" customHeight="1">
      <c r="J727" s="111"/>
    </row>
    <row r="728" spans="10:10" ht="11.25" customHeight="1">
      <c r="J728" s="111"/>
    </row>
    <row r="729" spans="10:10" ht="11.25" customHeight="1">
      <c r="J729" s="111"/>
    </row>
    <row r="730" spans="10:10" ht="11.25" customHeight="1">
      <c r="J730" s="111"/>
    </row>
    <row r="731" spans="10:10" ht="11.25" customHeight="1">
      <c r="J731" s="111"/>
    </row>
    <row r="732" spans="10:10" ht="11.25" customHeight="1">
      <c r="J732" s="111"/>
    </row>
    <row r="733" spans="10:10" ht="11.25" customHeight="1">
      <c r="J733" s="111"/>
    </row>
    <row r="734" spans="10:10" ht="11.25" customHeight="1">
      <c r="J734" s="111"/>
    </row>
    <row r="735" spans="10:10" ht="11.25" customHeight="1">
      <c r="J735" s="111"/>
    </row>
    <row r="736" spans="10:10" ht="11.25" customHeight="1">
      <c r="J736" s="111"/>
    </row>
    <row r="737" spans="10:10" ht="11.25" customHeight="1">
      <c r="J737" s="111"/>
    </row>
    <row r="738" spans="10:10" ht="11.25" customHeight="1">
      <c r="J738" s="111"/>
    </row>
    <row r="739" spans="10:10" ht="11.25" customHeight="1">
      <c r="J739" s="111"/>
    </row>
    <row r="740" spans="10:10" ht="11.25" customHeight="1">
      <c r="J740" s="111"/>
    </row>
    <row r="741" spans="10:10" ht="11.25" customHeight="1">
      <c r="J741" s="111"/>
    </row>
    <row r="742" spans="10:10" ht="11.25" customHeight="1">
      <c r="J742" s="111"/>
    </row>
    <row r="743" spans="10:10" ht="11.25" customHeight="1">
      <c r="J743" s="111"/>
    </row>
    <row r="744" spans="10:10" ht="11.25" customHeight="1">
      <c r="J744" s="111"/>
    </row>
    <row r="745" spans="10:10" ht="11.25" customHeight="1">
      <c r="J745" s="111"/>
    </row>
    <row r="746" spans="10:10" ht="11.25" customHeight="1">
      <c r="J746" s="111"/>
    </row>
    <row r="747" spans="10:10" ht="11.25" customHeight="1">
      <c r="J747" s="111"/>
    </row>
    <row r="748" spans="10:10" ht="11.25" customHeight="1">
      <c r="J748" s="111"/>
    </row>
    <row r="749" spans="10:10" ht="11.25" customHeight="1">
      <c r="J749" s="111"/>
    </row>
    <row r="750" spans="10:10" ht="11.25" customHeight="1">
      <c r="J750" s="111"/>
    </row>
    <row r="751" spans="10:10" ht="11.25" customHeight="1">
      <c r="J751" s="111"/>
    </row>
    <row r="752" spans="10:10" ht="11.25" customHeight="1">
      <c r="J752" s="111"/>
    </row>
    <row r="753" spans="10:10" ht="11.25" customHeight="1">
      <c r="J753" s="111"/>
    </row>
    <row r="754" spans="10:10" ht="11.25" customHeight="1">
      <c r="J754" s="111"/>
    </row>
    <row r="755" spans="10:10" ht="11.25" customHeight="1">
      <c r="J755" s="111"/>
    </row>
    <row r="756" spans="10:10" ht="11.25" customHeight="1">
      <c r="J756" s="111"/>
    </row>
    <row r="757" spans="10:10" ht="11.25" customHeight="1">
      <c r="J757" s="111"/>
    </row>
    <row r="758" spans="10:10" ht="11.25" customHeight="1">
      <c r="J758" s="111"/>
    </row>
    <row r="759" spans="10:10" ht="11.25" customHeight="1">
      <c r="J759" s="111"/>
    </row>
    <row r="760" spans="10:10" ht="11.25" customHeight="1">
      <c r="J760" s="111"/>
    </row>
    <row r="761" spans="10:10" ht="11.25" customHeight="1">
      <c r="J761" s="111"/>
    </row>
    <row r="762" spans="10:10" ht="11.25" customHeight="1">
      <c r="J762" s="111"/>
    </row>
    <row r="763" spans="10:10" ht="11.25" customHeight="1">
      <c r="J763" s="111"/>
    </row>
    <row r="764" spans="10:10" ht="11.25" customHeight="1">
      <c r="J764" s="111"/>
    </row>
    <row r="765" spans="10:10" ht="11.25" customHeight="1">
      <c r="J765" s="111"/>
    </row>
    <row r="766" spans="10:10" ht="11.25" customHeight="1">
      <c r="J766" s="111"/>
    </row>
    <row r="767" spans="10:10" ht="11.25" customHeight="1">
      <c r="J767" s="111"/>
    </row>
    <row r="768" spans="10:10" ht="11.25" customHeight="1">
      <c r="J768" s="111"/>
    </row>
    <row r="769" spans="10:10" ht="11.25" customHeight="1">
      <c r="J769" s="111"/>
    </row>
    <row r="770" spans="10:10" ht="11.25" customHeight="1">
      <c r="J770" s="111"/>
    </row>
    <row r="771" spans="10:10" ht="11.25" customHeight="1">
      <c r="J771" s="111"/>
    </row>
    <row r="772" spans="10:10" ht="11.25" customHeight="1">
      <c r="J772" s="111"/>
    </row>
    <row r="773" spans="10:10" ht="11.25" customHeight="1">
      <c r="J773" s="111"/>
    </row>
    <row r="774" spans="10:10" ht="11.25" customHeight="1">
      <c r="J774" s="111"/>
    </row>
    <row r="775" spans="10:10" ht="11.25" customHeight="1">
      <c r="J775" s="111"/>
    </row>
    <row r="776" spans="10:10" ht="11.25" customHeight="1">
      <c r="J776" s="111"/>
    </row>
    <row r="777" spans="10:10" ht="11.25" customHeight="1">
      <c r="J777" s="111"/>
    </row>
    <row r="778" spans="10:10" ht="11.25" customHeight="1">
      <c r="J778" s="111"/>
    </row>
    <row r="779" spans="10:10" ht="11.25" customHeight="1">
      <c r="J779" s="111"/>
    </row>
    <row r="780" spans="10:10" ht="11.25" customHeight="1">
      <c r="J780" s="111"/>
    </row>
    <row r="781" spans="10:10" ht="11.25" customHeight="1">
      <c r="J781" s="111"/>
    </row>
    <row r="782" spans="10:10" ht="11.25" customHeight="1">
      <c r="J782" s="111"/>
    </row>
    <row r="783" spans="10:10" ht="11.25" customHeight="1">
      <c r="J783" s="111"/>
    </row>
    <row r="784" spans="10:10" ht="11.25" customHeight="1">
      <c r="J784" s="111"/>
    </row>
    <row r="785" spans="10:10" ht="11.25" customHeight="1">
      <c r="J785" s="111"/>
    </row>
    <row r="786" spans="10:10" ht="11.25" customHeight="1">
      <c r="J786" s="111"/>
    </row>
    <row r="787" spans="10:10" ht="11.25" customHeight="1">
      <c r="J787" s="111"/>
    </row>
    <row r="788" spans="10:10" ht="11.25" customHeight="1">
      <c r="J788" s="111"/>
    </row>
    <row r="789" spans="10:10" ht="11.25" customHeight="1">
      <c r="J789" s="111"/>
    </row>
    <row r="790" spans="10:10" ht="11.25" customHeight="1">
      <c r="J790" s="111"/>
    </row>
    <row r="791" spans="10:10" ht="11.25" customHeight="1">
      <c r="J791" s="111"/>
    </row>
    <row r="792" spans="10:10" ht="11.25" customHeight="1">
      <c r="J792" s="111"/>
    </row>
    <row r="793" spans="10:10" ht="11.25" customHeight="1">
      <c r="J793" s="111"/>
    </row>
    <row r="794" spans="10:10" ht="11.25" customHeight="1">
      <c r="J794" s="111"/>
    </row>
    <row r="795" spans="10:10" ht="11.25" customHeight="1">
      <c r="J795" s="111"/>
    </row>
    <row r="796" spans="10:10" ht="11.25" customHeight="1">
      <c r="J796" s="111"/>
    </row>
    <row r="797" spans="10:10" ht="11.25" customHeight="1">
      <c r="J797" s="111"/>
    </row>
    <row r="798" spans="10:10" ht="11.25" customHeight="1">
      <c r="J798" s="111"/>
    </row>
    <row r="799" spans="10:10" ht="11.25" customHeight="1">
      <c r="J799" s="111"/>
    </row>
    <row r="800" spans="10:10" ht="11.25" customHeight="1">
      <c r="J800" s="111"/>
    </row>
    <row r="801" spans="10:10" ht="11.25" customHeight="1">
      <c r="J801" s="111"/>
    </row>
    <row r="802" spans="10:10" ht="11.25" customHeight="1">
      <c r="J802" s="111"/>
    </row>
    <row r="803" spans="10:10" ht="11.25" customHeight="1">
      <c r="J803" s="111"/>
    </row>
    <row r="804" spans="10:10" ht="11.25" customHeight="1">
      <c r="J804" s="111"/>
    </row>
    <row r="805" spans="10:10" ht="11.25" customHeight="1">
      <c r="J805" s="111"/>
    </row>
    <row r="806" spans="10:10" ht="11.25" customHeight="1">
      <c r="J806" s="111"/>
    </row>
    <row r="807" spans="10:10" ht="11.25" customHeight="1">
      <c r="J807" s="111"/>
    </row>
    <row r="808" spans="10:10" ht="11.25" customHeight="1">
      <c r="J808" s="111"/>
    </row>
    <row r="809" spans="10:10" ht="11.25" customHeight="1">
      <c r="J809" s="111"/>
    </row>
    <row r="810" spans="10:10" ht="11.25" customHeight="1">
      <c r="J810" s="111"/>
    </row>
    <row r="811" spans="10:10" ht="11.25" customHeight="1">
      <c r="J811" s="111"/>
    </row>
    <row r="812" spans="10:10" ht="11.25" customHeight="1">
      <c r="J812" s="111"/>
    </row>
    <row r="813" spans="10:10" ht="11.25" customHeight="1">
      <c r="J813" s="111"/>
    </row>
    <row r="814" spans="10:10" ht="11.25" customHeight="1">
      <c r="J814" s="111"/>
    </row>
    <row r="815" spans="10:10" ht="11.25" customHeight="1">
      <c r="J815" s="111"/>
    </row>
    <row r="816" spans="10:10" ht="11.25" customHeight="1">
      <c r="J816" s="111"/>
    </row>
    <row r="817" spans="10:10" ht="11.25" customHeight="1">
      <c r="J817" s="111"/>
    </row>
    <row r="818" spans="10:10" ht="11.25" customHeight="1">
      <c r="J818" s="111"/>
    </row>
    <row r="819" spans="10:10" ht="11.25" customHeight="1">
      <c r="J819" s="111"/>
    </row>
    <row r="820" spans="10:10" ht="11.25" customHeight="1">
      <c r="J820" s="111"/>
    </row>
    <row r="821" spans="10:10" ht="11.25" customHeight="1">
      <c r="J821" s="111"/>
    </row>
    <row r="822" spans="10:10" ht="11.25" customHeight="1">
      <c r="J822" s="111"/>
    </row>
    <row r="823" spans="10:10" ht="11.25" customHeight="1">
      <c r="J823" s="111"/>
    </row>
    <row r="824" spans="10:10" ht="11.25" customHeight="1">
      <c r="J824" s="111"/>
    </row>
    <row r="825" spans="10:10" ht="11.25" customHeight="1">
      <c r="J825" s="111"/>
    </row>
    <row r="826" spans="10:10" ht="11.25" customHeight="1">
      <c r="J826" s="111"/>
    </row>
    <row r="827" spans="10:10" ht="11.25" customHeight="1">
      <c r="J827" s="111"/>
    </row>
    <row r="828" spans="10:10" ht="11.25" customHeight="1">
      <c r="J828" s="111"/>
    </row>
    <row r="829" spans="10:10" ht="11.25" customHeight="1">
      <c r="J829" s="111"/>
    </row>
    <row r="830" spans="10:10" ht="11.25" customHeight="1">
      <c r="J830" s="111"/>
    </row>
    <row r="831" spans="10:10" ht="11.25" customHeight="1">
      <c r="J831" s="111"/>
    </row>
    <row r="832" spans="10:10" ht="11.25" customHeight="1">
      <c r="J832" s="111"/>
    </row>
    <row r="833" spans="10:10" ht="11.25" customHeight="1">
      <c r="J833" s="111"/>
    </row>
    <row r="834" spans="10:10" ht="11.25" customHeight="1">
      <c r="J834" s="111"/>
    </row>
    <row r="835" spans="10:10" ht="11.25" customHeight="1">
      <c r="J835" s="111"/>
    </row>
    <row r="836" spans="10:10" ht="11.25" customHeight="1">
      <c r="J836" s="111"/>
    </row>
    <row r="837" spans="10:10" ht="11.25" customHeight="1">
      <c r="J837" s="111"/>
    </row>
    <row r="838" spans="10:10" ht="11.25" customHeight="1">
      <c r="J838" s="111"/>
    </row>
    <row r="839" spans="10:10" ht="11.25" customHeight="1">
      <c r="J839" s="111"/>
    </row>
    <row r="840" spans="10:10" ht="11.25" customHeight="1">
      <c r="J840" s="111"/>
    </row>
    <row r="841" spans="10:10" ht="11.25" customHeight="1">
      <c r="J841" s="111"/>
    </row>
    <row r="842" spans="10:10" ht="11.25" customHeight="1">
      <c r="J842" s="111"/>
    </row>
    <row r="843" spans="10:10" ht="11.25" customHeight="1">
      <c r="J843" s="111"/>
    </row>
    <row r="844" spans="10:10" ht="11.25" customHeight="1">
      <c r="J844" s="111"/>
    </row>
    <row r="845" spans="10:10" ht="11.25" customHeight="1">
      <c r="J845" s="111"/>
    </row>
    <row r="846" spans="10:10" ht="11.25" customHeight="1">
      <c r="J846" s="111"/>
    </row>
    <row r="847" spans="10:10" ht="11.25" customHeight="1">
      <c r="J847" s="111"/>
    </row>
    <row r="848" spans="10:10" ht="11.25" customHeight="1">
      <c r="J848" s="111"/>
    </row>
    <row r="849" spans="10:10" ht="11.25" customHeight="1">
      <c r="J849" s="111"/>
    </row>
    <row r="850" spans="10:10" ht="11.25" customHeight="1">
      <c r="J850" s="111"/>
    </row>
    <row r="851" spans="10:10" ht="11.25" customHeight="1">
      <c r="J851" s="111"/>
    </row>
    <row r="852" spans="10:10" ht="11.25" customHeight="1">
      <c r="J852" s="111"/>
    </row>
    <row r="853" spans="10:10" ht="11.25" customHeight="1">
      <c r="J853" s="111"/>
    </row>
    <row r="854" spans="10:10" ht="11.25" customHeight="1">
      <c r="J854" s="111"/>
    </row>
    <row r="855" spans="10:10" ht="11.25" customHeight="1">
      <c r="J855" s="111"/>
    </row>
    <row r="856" spans="10:10" ht="11.25" customHeight="1">
      <c r="J856" s="111"/>
    </row>
    <row r="857" spans="10:10" ht="11.25" customHeight="1">
      <c r="J857" s="111"/>
    </row>
    <row r="858" spans="10:10" ht="11.25" customHeight="1">
      <c r="J858" s="111"/>
    </row>
    <row r="859" spans="10:10" ht="11.25" customHeight="1">
      <c r="J859" s="111"/>
    </row>
    <row r="860" spans="10:10" ht="11.25" customHeight="1">
      <c r="J860" s="111"/>
    </row>
    <row r="861" spans="10:10" ht="11.25" customHeight="1">
      <c r="J861" s="111"/>
    </row>
    <row r="862" spans="10:10" ht="11.25" customHeight="1">
      <c r="J862" s="111"/>
    </row>
    <row r="863" spans="10:10" ht="11.25" customHeight="1">
      <c r="J863" s="111"/>
    </row>
    <row r="864" spans="10:10" ht="11.25" customHeight="1">
      <c r="J864" s="111"/>
    </row>
    <row r="865" spans="10:10" ht="11.25" customHeight="1">
      <c r="J865" s="111"/>
    </row>
    <row r="866" spans="10:10" ht="11.25" customHeight="1">
      <c r="J866" s="111"/>
    </row>
    <row r="867" spans="10:10" ht="11.25" customHeight="1">
      <c r="J867" s="111"/>
    </row>
    <row r="868" spans="10:10" ht="11.25" customHeight="1">
      <c r="J868" s="111"/>
    </row>
    <row r="869" spans="10:10" ht="11.25" customHeight="1">
      <c r="J869" s="111"/>
    </row>
    <row r="870" spans="10:10" ht="11.25" customHeight="1">
      <c r="J870" s="111"/>
    </row>
    <row r="871" spans="10:10" ht="11.25" customHeight="1">
      <c r="J871" s="111"/>
    </row>
    <row r="872" spans="10:10" ht="11.25" customHeight="1">
      <c r="J872" s="111"/>
    </row>
    <row r="873" spans="10:10" ht="11.25" customHeight="1">
      <c r="J873" s="111"/>
    </row>
    <row r="874" spans="10:10" ht="11.25" customHeight="1">
      <c r="J874" s="111"/>
    </row>
    <row r="875" spans="10:10" ht="11.25" customHeight="1">
      <c r="J875" s="111"/>
    </row>
    <row r="876" spans="10:10" ht="11.25" customHeight="1">
      <c r="J876" s="111"/>
    </row>
    <row r="877" spans="10:10" ht="11.25" customHeight="1">
      <c r="J877" s="111"/>
    </row>
    <row r="878" spans="10:10" ht="11.25" customHeight="1">
      <c r="J878" s="111"/>
    </row>
    <row r="879" spans="10:10" ht="11.25" customHeight="1">
      <c r="J879" s="111"/>
    </row>
    <row r="880" spans="10:10" ht="11.25" customHeight="1">
      <c r="J880" s="111"/>
    </row>
    <row r="881" spans="10:10" ht="11.25" customHeight="1">
      <c r="J881" s="111"/>
    </row>
    <row r="882" spans="10:10" ht="11.25" customHeight="1">
      <c r="J882" s="111"/>
    </row>
    <row r="883" spans="10:10" ht="11.25" customHeight="1">
      <c r="J883" s="111"/>
    </row>
    <row r="884" spans="10:10" ht="11.25" customHeight="1">
      <c r="J884" s="111"/>
    </row>
    <row r="885" spans="10:10" ht="11.25" customHeight="1">
      <c r="J885" s="111"/>
    </row>
    <row r="886" spans="10:10" ht="11.25" customHeight="1">
      <c r="J886" s="111"/>
    </row>
    <row r="887" spans="10:10" ht="11.25" customHeight="1">
      <c r="J887" s="111"/>
    </row>
    <row r="888" spans="10:10" ht="11.25" customHeight="1">
      <c r="J888" s="111"/>
    </row>
    <row r="889" spans="10:10" ht="11.25" customHeight="1">
      <c r="J889" s="111"/>
    </row>
    <row r="890" spans="10:10" ht="11.25" customHeight="1">
      <c r="J890" s="111"/>
    </row>
    <row r="891" spans="10:10" ht="11.25" customHeight="1">
      <c r="J891" s="111"/>
    </row>
    <row r="892" spans="10:10" ht="11.25" customHeight="1">
      <c r="J892" s="111"/>
    </row>
    <row r="893" spans="10:10" ht="11.25" customHeight="1">
      <c r="J893" s="111"/>
    </row>
    <row r="894" spans="10:10" ht="11.25" customHeight="1">
      <c r="J894" s="111"/>
    </row>
    <row r="895" spans="10:10" ht="11.25" customHeight="1">
      <c r="J895" s="111"/>
    </row>
    <row r="896" spans="10:10" ht="11.25" customHeight="1">
      <c r="J896" s="111"/>
    </row>
    <row r="897" spans="10:10" ht="11.25" customHeight="1">
      <c r="J897" s="111"/>
    </row>
    <row r="898" spans="10:10" ht="11.25" customHeight="1">
      <c r="J898" s="111"/>
    </row>
    <row r="899" spans="10:10" ht="11.25" customHeight="1">
      <c r="J899" s="111"/>
    </row>
    <row r="900" spans="10:10" ht="11.25" customHeight="1">
      <c r="J900" s="111"/>
    </row>
    <row r="901" spans="10:10" ht="11.25" customHeight="1">
      <c r="J901" s="111"/>
    </row>
    <row r="902" spans="10:10" ht="11.25" customHeight="1">
      <c r="J902" s="111"/>
    </row>
    <row r="903" spans="10:10" ht="11.25" customHeight="1">
      <c r="J903" s="111"/>
    </row>
    <row r="904" spans="10:10" ht="11.25" customHeight="1">
      <c r="J904" s="111"/>
    </row>
    <row r="905" spans="10:10" ht="11.25" customHeight="1">
      <c r="J905" s="111"/>
    </row>
    <row r="906" spans="10:10" ht="11.25" customHeight="1">
      <c r="J906" s="111"/>
    </row>
    <row r="907" spans="10:10" ht="11.25" customHeight="1">
      <c r="J907" s="111"/>
    </row>
    <row r="908" spans="10:10" ht="11.25" customHeight="1">
      <c r="J908" s="111"/>
    </row>
    <row r="909" spans="10:10" ht="11.25" customHeight="1">
      <c r="J909" s="111"/>
    </row>
    <row r="910" spans="10:10" ht="11.25" customHeight="1">
      <c r="J910" s="111"/>
    </row>
    <row r="911" spans="10:10" ht="11.25" customHeight="1">
      <c r="J911" s="111"/>
    </row>
    <row r="912" spans="10:10" ht="11.25" customHeight="1">
      <c r="J912" s="111"/>
    </row>
    <row r="913" spans="10:10" ht="11.25" customHeight="1">
      <c r="J913" s="111"/>
    </row>
    <row r="914" spans="10:10" ht="11.25" customHeight="1">
      <c r="J914" s="111"/>
    </row>
    <row r="915" spans="10:10" ht="11.25" customHeight="1">
      <c r="J915" s="111"/>
    </row>
    <row r="916" spans="10:10" ht="11.25" customHeight="1">
      <c r="J916" s="111"/>
    </row>
    <row r="917" spans="10:10" ht="11.25" customHeight="1">
      <c r="J917" s="111"/>
    </row>
    <row r="918" spans="10:10" ht="11.25" customHeight="1">
      <c r="J918" s="111"/>
    </row>
    <row r="919" spans="10:10" ht="11.25" customHeight="1">
      <c r="J919" s="111"/>
    </row>
    <row r="920" spans="10:10" ht="11.25" customHeight="1">
      <c r="J920" s="111"/>
    </row>
    <row r="921" spans="10:10" ht="11.25" customHeight="1">
      <c r="J921" s="111"/>
    </row>
    <row r="922" spans="10:10" ht="11.25" customHeight="1">
      <c r="J922" s="111"/>
    </row>
    <row r="923" spans="10:10" ht="11.25" customHeight="1">
      <c r="J923" s="111"/>
    </row>
    <row r="924" spans="10:10" ht="11.25" customHeight="1">
      <c r="J924" s="111"/>
    </row>
    <row r="925" spans="10:10" ht="11.25" customHeight="1">
      <c r="J925" s="111"/>
    </row>
    <row r="926" spans="10:10" ht="11.25" customHeight="1">
      <c r="J926" s="111"/>
    </row>
    <row r="927" spans="10:10" ht="11.25" customHeight="1">
      <c r="J927" s="111"/>
    </row>
    <row r="928" spans="10:10" ht="11.25" customHeight="1">
      <c r="J928" s="111"/>
    </row>
    <row r="929" spans="10:10" ht="11.25" customHeight="1">
      <c r="J929" s="111"/>
    </row>
    <row r="930" spans="10:10" ht="11.25" customHeight="1">
      <c r="J930" s="111"/>
    </row>
    <row r="931" spans="10:10" ht="11.25" customHeight="1">
      <c r="J931" s="111"/>
    </row>
    <row r="932" spans="10:10" ht="11.25" customHeight="1">
      <c r="J932" s="111"/>
    </row>
    <row r="933" spans="10:10" ht="11.25" customHeight="1">
      <c r="J933" s="111"/>
    </row>
    <row r="934" spans="10:10" ht="11.25" customHeight="1">
      <c r="J934" s="111"/>
    </row>
    <row r="935" spans="10:10" ht="11.25" customHeight="1">
      <c r="J935" s="111"/>
    </row>
    <row r="936" spans="10:10" ht="11.25" customHeight="1">
      <c r="J936" s="111"/>
    </row>
    <row r="937" spans="10:10" ht="11.25" customHeight="1">
      <c r="J937" s="111"/>
    </row>
    <row r="938" spans="10:10" ht="11.25" customHeight="1">
      <c r="J938" s="111"/>
    </row>
    <row r="939" spans="10:10" ht="11.25" customHeight="1">
      <c r="J939" s="111"/>
    </row>
    <row r="940" spans="10:10" ht="11.25" customHeight="1">
      <c r="J940" s="111"/>
    </row>
    <row r="941" spans="10:10" ht="11.25" customHeight="1">
      <c r="J941" s="111"/>
    </row>
    <row r="942" spans="10:10" ht="11.25" customHeight="1">
      <c r="J942" s="111"/>
    </row>
    <row r="943" spans="10:10" ht="11.25" customHeight="1">
      <c r="J943" s="111"/>
    </row>
    <row r="944" spans="10:10" ht="11.25" customHeight="1">
      <c r="J944" s="111"/>
    </row>
    <row r="945" spans="10:10" ht="11.25" customHeight="1">
      <c r="J945" s="111"/>
    </row>
    <row r="946" spans="10:10" ht="11.25" customHeight="1">
      <c r="J946" s="111"/>
    </row>
    <row r="947" spans="10:10" ht="11.25" customHeight="1">
      <c r="J947" s="111"/>
    </row>
    <row r="948" spans="10:10" ht="11.25" customHeight="1">
      <c r="J948" s="111"/>
    </row>
    <row r="949" spans="10:10" ht="11.25" customHeight="1">
      <c r="J949" s="111"/>
    </row>
    <row r="950" spans="10:10" ht="11.25" customHeight="1">
      <c r="J950" s="111"/>
    </row>
    <row r="951" spans="10:10" ht="11.25" customHeight="1">
      <c r="J951" s="111"/>
    </row>
    <row r="952" spans="10:10" ht="11.25" customHeight="1">
      <c r="J952" s="111"/>
    </row>
    <row r="953" spans="10:10" ht="11.25" customHeight="1">
      <c r="J953" s="111"/>
    </row>
    <row r="954" spans="10:10" ht="11.25" customHeight="1">
      <c r="J954" s="111"/>
    </row>
    <row r="955" spans="10:10" ht="11.25" customHeight="1">
      <c r="J955" s="111"/>
    </row>
    <row r="956" spans="10:10" ht="11.25" customHeight="1">
      <c r="J956" s="111"/>
    </row>
    <row r="957" spans="10:10" ht="11.25" customHeight="1">
      <c r="J957" s="111"/>
    </row>
    <row r="958" spans="10:10" ht="11.25" customHeight="1">
      <c r="J958" s="111"/>
    </row>
    <row r="959" spans="10:10" ht="11.25" customHeight="1">
      <c r="J959" s="111"/>
    </row>
    <row r="960" spans="10:10" ht="11.25" customHeight="1">
      <c r="J960" s="111"/>
    </row>
    <row r="961" spans="10:10" ht="11.25" customHeight="1">
      <c r="J961" s="111"/>
    </row>
    <row r="962" spans="10:10" ht="11.25" customHeight="1">
      <c r="J962" s="111"/>
    </row>
    <row r="963" spans="10:10" ht="11.25" customHeight="1">
      <c r="J963" s="111"/>
    </row>
    <row r="964" spans="10:10" ht="11.25" customHeight="1">
      <c r="J964" s="111"/>
    </row>
    <row r="965" spans="10:10" ht="11.25" customHeight="1">
      <c r="J965" s="111"/>
    </row>
    <row r="966" spans="10:10" ht="11.25" customHeight="1">
      <c r="J966" s="111"/>
    </row>
    <row r="967" spans="10:10" ht="11.25" customHeight="1">
      <c r="J967" s="111"/>
    </row>
    <row r="968" spans="10:10" ht="11.25" customHeight="1">
      <c r="J968" s="111"/>
    </row>
    <row r="969" spans="10:10" ht="11.25" customHeight="1">
      <c r="J969" s="111"/>
    </row>
    <row r="970" spans="10:10" ht="11.25" customHeight="1">
      <c r="J970" s="111"/>
    </row>
    <row r="971" spans="10:10" ht="11.25" customHeight="1">
      <c r="J971" s="111"/>
    </row>
    <row r="972" spans="10:10" ht="11.25" customHeight="1">
      <c r="J972" s="111"/>
    </row>
    <row r="973" spans="10:10" ht="11.25" customHeight="1">
      <c r="J973" s="111"/>
    </row>
    <row r="974" spans="10:10" ht="11.25" customHeight="1">
      <c r="J974" s="111"/>
    </row>
    <row r="975" spans="10:10" ht="11.25" customHeight="1">
      <c r="J975" s="111"/>
    </row>
    <row r="976" spans="10:10" ht="11.25" customHeight="1">
      <c r="J976" s="111"/>
    </row>
    <row r="977" spans="10:10" ht="11.25" customHeight="1">
      <c r="J977" s="111"/>
    </row>
    <row r="978" spans="10:10" ht="11.25" customHeight="1">
      <c r="J978" s="111"/>
    </row>
    <row r="979" spans="10:10" ht="11.25" customHeight="1">
      <c r="J979" s="111"/>
    </row>
    <row r="980" spans="10:10" ht="11.25" customHeight="1">
      <c r="J980" s="111"/>
    </row>
    <row r="981" spans="10:10" ht="11.25" customHeight="1">
      <c r="J981" s="111"/>
    </row>
    <row r="982" spans="10:10" ht="11.25" customHeight="1">
      <c r="J982" s="111"/>
    </row>
    <row r="983" spans="10:10" ht="11.25" customHeight="1">
      <c r="J983" s="111"/>
    </row>
    <row r="984" spans="10:10" ht="11.25" customHeight="1">
      <c r="J984" s="111"/>
    </row>
    <row r="985" spans="10:10" ht="11.25" customHeight="1">
      <c r="J985" s="111"/>
    </row>
    <row r="986" spans="10:10" ht="11.25" customHeight="1">
      <c r="J986" s="111"/>
    </row>
    <row r="987" spans="10:10" ht="11.25" customHeight="1">
      <c r="J987" s="111"/>
    </row>
    <row r="988" spans="10:10" ht="11.25" customHeight="1">
      <c r="J988" s="111"/>
    </row>
    <row r="989" spans="10:10" ht="11.25" customHeight="1">
      <c r="J989" s="111"/>
    </row>
    <row r="990" spans="10:10" ht="11.25" customHeight="1">
      <c r="J990" s="111"/>
    </row>
    <row r="991" spans="10:10" ht="11.25" customHeight="1">
      <c r="J991" s="111"/>
    </row>
    <row r="992" spans="10:10" ht="11.25" customHeight="1">
      <c r="J992" s="111"/>
    </row>
    <row r="993" spans="10:10" ht="11.25" customHeight="1">
      <c r="J993" s="111"/>
    </row>
    <row r="994" spans="10:10" ht="11.25" customHeight="1">
      <c r="J994" s="111"/>
    </row>
    <row r="995" spans="10:10" ht="11.25" customHeight="1">
      <c r="J995" s="111"/>
    </row>
    <row r="996" spans="10:10" ht="11.25" customHeight="1">
      <c r="J996" s="111"/>
    </row>
    <row r="997" spans="10:10" ht="11.25" customHeight="1">
      <c r="J997" s="111"/>
    </row>
    <row r="998" spans="10:10" ht="11.25" customHeight="1">
      <c r="J998" s="111"/>
    </row>
    <row r="999" spans="10:10" ht="11.25" customHeight="1">
      <c r="J999" s="111"/>
    </row>
    <row r="1000" spans="10:10" ht="11.25" customHeight="1">
      <c r="J1000" s="111"/>
    </row>
    <row r="1001" spans="10:10" ht="11.25" customHeight="1">
      <c r="J1001" s="111"/>
    </row>
    <row r="1002" spans="10:10" ht="11.25" customHeight="1">
      <c r="J1002" s="111"/>
    </row>
    <row r="1003" spans="10:10" ht="11.25" customHeight="1">
      <c r="J1003" s="111"/>
    </row>
    <row r="1004" spans="10:10" ht="11.25" customHeight="1">
      <c r="J1004" s="111"/>
    </row>
    <row r="1005" spans="10:10" ht="11.25" customHeight="1">
      <c r="J1005" s="111"/>
    </row>
    <row r="1006" spans="10:10" ht="11.25" customHeight="1">
      <c r="J1006" s="111"/>
    </row>
    <row r="1007" spans="10:10" ht="11.25" customHeight="1">
      <c r="J1007" s="111"/>
    </row>
    <row r="1008" spans="10:10" ht="11.25" customHeight="1">
      <c r="J1008" s="111"/>
    </row>
    <row r="1009" spans="10:10" ht="11.25" customHeight="1">
      <c r="J1009" s="111"/>
    </row>
    <row r="1010" spans="10:10" ht="11.25" customHeight="1">
      <c r="J1010" s="111"/>
    </row>
    <row r="1011" spans="10:10" ht="11.25" customHeight="1">
      <c r="J1011" s="111"/>
    </row>
    <row r="1012" spans="10:10" ht="11.25" customHeight="1">
      <c r="J1012" s="111"/>
    </row>
    <row r="1013" spans="10:10" ht="11.25" customHeight="1">
      <c r="J1013" s="111"/>
    </row>
    <row r="1014" spans="10:10" ht="11.25" customHeight="1">
      <c r="J1014" s="111"/>
    </row>
    <row r="1015" spans="10:10" ht="11.25" customHeight="1">
      <c r="J1015" s="111"/>
    </row>
    <row r="1016" spans="10:10" ht="11.25" customHeight="1">
      <c r="J1016" s="111"/>
    </row>
    <row r="1017" spans="10:10" ht="11.25" customHeight="1">
      <c r="J1017" s="111"/>
    </row>
    <row r="1018" spans="10:10" ht="11.25" customHeight="1">
      <c r="J1018" s="111"/>
    </row>
    <row r="1019" spans="10:10" ht="11.25" customHeight="1">
      <c r="J1019" s="111"/>
    </row>
    <row r="1020" spans="10:10" ht="11.25" customHeight="1">
      <c r="J1020" s="111"/>
    </row>
    <row r="1021" spans="10:10" ht="11.25" customHeight="1">
      <c r="J1021" s="111"/>
    </row>
    <row r="1022" spans="10:10" ht="11.25" customHeight="1">
      <c r="J1022" s="111"/>
    </row>
    <row r="1023" spans="10:10" ht="11.25" customHeight="1">
      <c r="J1023" s="111"/>
    </row>
    <row r="1024" spans="10:10" ht="11.25" customHeight="1">
      <c r="J1024" s="111"/>
    </row>
    <row r="1025" spans="10:10" ht="11.25" customHeight="1">
      <c r="J1025" s="111"/>
    </row>
    <row r="1026" spans="10:10" ht="11.25" customHeight="1">
      <c r="J1026" s="111"/>
    </row>
    <row r="1027" spans="10:10" ht="11.25" customHeight="1">
      <c r="J1027" s="111"/>
    </row>
    <row r="1028" spans="10:10" ht="11.25" customHeight="1">
      <c r="J1028" s="111"/>
    </row>
    <row r="1029" spans="10:10" ht="11.25" customHeight="1">
      <c r="J1029" s="111"/>
    </row>
    <row r="1030" spans="10:10" ht="11.25" customHeight="1">
      <c r="J1030" s="111"/>
    </row>
    <row r="1031" spans="10:10" ht="11.25" customHeight="1">
      <c r="J1031" s="111"/>
    </row>
    <row r="1032" spans="10:10" ht="11.25" customHeight="1">
      <c r="J1032" s="111"/>
    </row>
    <row r="1033" spans="10:10" ht="11.25" customHeight="1">
      <c r="J1033" s="111"/>
    </row>
    <row r="1034" spans="10:10" ht="11.25" customHeight="1">
      <c r="J1034" s="111"/>
    </row>
    <row r="1035" spans="10:10" ht="11.25" customHeight="1">
      <c r="J1035" s="111"/>
    </row>
    <row r="1036" spans="10:10" ht="11.25" customHeight="1">
      <c r="J1036" s="111"/>
    </row>
    <row r="1037" spans="10:10" ht="11.25" customHeight="1">
      <c r="J1037" s="111"/>
    </row>
    <row r="1038" spans="10:10" ht="11.25" customHeight="1">
      <c r="J1038" s="111"/>
    </row>
    <row r="1039" spans="10:10" ht="11.25" customHeight="1">
      <c r="J1039" s="111"/>
    </row>
    <row r="1040" spans="10:10" ht="11.25" customHeight="1">
      <c r="J1040" s="111"/>
    </row>
    <row r="1041" spans="10:10" ht="11.25" customHeight="1">
      <c r="J1041" s="111"/>
    </row>
    <row r="1042" spans="10:10" ht="11.25" customHeight="1">
      <c r="J1042" s="111"/>
    </row>
    <row r="1043" spans="10:10" ht="11.25" customHeight="1">
      <c r="J1043" s="111"/>
    </row>
    <row r="1044" spans="10:10" ht="11.25" customHeight="1">
      <c r="J1044" s="111"/>
    </row>
    <row r="1045" spans="10:10" ht="11.25" customHeight="1">
      <c r="J1045" s="111"/>
    </row>
    <row r="1046" spans="10:10" ht="11.25" customHeight="1">
      <c r="J1046" s="111"/>
    </row>
    <row r="1047" spans="10:10" ht="11.25" customHeight="1">
      <c r="J1047" s="111"/>
    </row>
    <row r="1048" spans="10:10" ht="11.25" customHeight="1">
      <c r="J1048" s="111"/>
    </row>
    <row r="1049" spans="10:10" ht="11.25" customHeight="1">
      <c r="J1049" s="111"/>
    </row>
    <row r="1050" spans="10:10" ht="11.25" customHeight="1">
      <c r="J1050" s="111"/>
    </row>
    <row r="1051" spans="10:10" ht="11.25" customHeight="1">
      <c r="J1051" s="111"/>
    </row>
    <row r="1052" spans="10:10" ht="11.25" customHeight="1">
      <c r="J1052" s="111"/>
    </row>
    <row r="1053" spans="10:10" ht="11.25" customHeight="1">
      <c r="J1053" s="111"/>
    </row>
    <row r="1054" spans="10:10" ht="11.25" customHeight="1">
      <c r="J1054" s="111"/>
    </row>
    <row r="1055" spans="10:10" ht="11.25" customHeight="1">
      <c r="J1055" s="111"/>
    </row>
    <row r="1056" spans="10:10" ht="11.25" customHeight="1">
      <c r="J1056" s="111"/>
    </row>
    <row r="1057" spans="10:10" ht="11.25" customHeight="1">
      <c r="J1057" s="111"/>
    </row>
    <row r="1058" spans="10:10" ht="11.25" customHeight="1">
      <c r="J1058" s="111"/>
    </row>
    <row r="1059" spans="10:10" ht="11.25" customHeight="1">
      <c r="J1059" s="111"/>
    </row>
    <row r="1060" spans="10:10" ht="11.25" customHeight="1">
      <c r="J1060" s="111"/>
    </row>
    <row r="1061" spans="10:10" ht="11.25" customHeight="1">
      <c r="J1061" s="111"/>
    </row>
    <row r="1062" spans="10:10" ht="11.25" customHeight="1">
      <c r="J1062" s="111"/>
    </row>
    <row r="1063" spans="10:10" ht="11.25" customHeight="1">
      <c r="J1063" s="111"/>
    </row>
    <row r="1064" spans="10:10" ht="11.25" customHeight="1">
      <c r="J1064" s="111"/>
    </row>
    <row r="1065" spans="10:10" ht="11.25" customHeight="1">
      <c r="J1065" s="111"/>
    </row>
    <row r="1066" spans="10:10" ht="11.25" customHeight="1">
      <c r="J1066" s="111"/>
    </row>
    <row r="1067" spans="10:10" ht="11.25" customHeight="1">
      <c r="J1067" s="111"/>
    </row>
    <row r="1068" spans="10:10" ht="11.25" customHeight="1">
      <c r="J1068" s="111"/>
    </row>
    <row r="1069" spans="10:10" ht="11.25" customHeight="1">
      <c r="J1069" s="111"/>
    </row>
    <row r="1070" spans="10:10" ht="11.25" customHeight="1">
      <c r="J1070" s="111"/>
    </row>
    <row r="1071" spans="10:10" ht="11.25" customHeight="1">
      <c r="J1071" s="111"/>
    </row>
    <row r="1072" spans="10:10" ht="11.25" customHeight="1">
      <c r="J1072" s="111"/>
    </row>
    <row r="1073" spans="10:10" ht="11.25" customHeight="1">
      <c r="J1073" s="111"/>
    </row>
    <row r="1074" spans="10:10" ht="11.25" customHeight="1">
      <c r="J1074" s="111"/>
    </row>
    <row r="1075" spans="10:10" ht="11.25" customHeight="1">
      <c r="J1075" s="111"/>
    </row>
    <row r="1076" spans="10:10" ht="11.25" customHeight="1">
      <c r="J1076" s="111"/>
    </row>
    <row r="1077" spans="10:10" ht="11.25" customHeight="1">
      <c r="J1077" s="111"/>
    </row>
    <row r="1078" spans="10:10" ht="11.25" customHeight="1">
      <c r="J1078" s="111"/>
    </row>
    <row r="1079" spans="10:10" ht="11.25" customHeight="1">
      <c r="J1079" s="111"/>
    </row>
    <row r="1080" spans="10:10" ht="11.25" customHeight="1">
      <c r="J1080" s="111"/>
    </row>
    <row r="1081" spans="10:10" ht="11.25" customHeight="1">
      <c r="J1081" s="111"/>
    </row>
    <row r="1082" spans="10:10" ht="11.25" customHeight="1">
      <c r="J1082" s="111"/>
    </row>
    <row r="1083" spans="10:10" ht="11.25" customHeight="1">
      <c r="J1083" s="111"/>
    </row>
    <row r="1084" spans="10:10" ht="11.25" customHeight="1">
      <c r="J1084" s="111"/>
    </row>
    <row r="1085" spans="10:10" ht="11.25" customHeight="1">
      <c r="J1085" s="111"/>
    </row>
    <row r="1086" spans="10:10" ht="11.25" customHeight="1">
      <c r="J1086" s="111"/>
    </row>
    <row r="1087" spans="10:10" ht="11.25" customHeight="1">
      <c r="J1087" s="111"/>
    </row>
    <row r="1088" spans="10:10" ht="11.25" customHeight="1">
      <c r="J1088" s="111"/>
    </row>
    <row r="1089" spans="10:10" ht="11.25" customHeight="1">
      <c r="J1089" s="111"/>
    </row>
    <row r="1090" spans="10:10" ht="11.25" customHeight="1">
      <c r="J1090" s="111"/>
    </row>
    <row r="1091" spans="10:10" ht="11.25" customHeight="1">
      <c r="J1091" s="111"/>
    </row>
    <row r="1092" spans="10:10" ht="11.25" customHeight="1">
      <c r="J1092" s="111"/>
    </row>
    <row r="1093" spans="10:10" ht="11.25" customHeight="1">
      <c r="J1093" s="111"/>
    </row>
    <row r="1094" spans="10:10" ht="11.25" customHeight="1">
      <c r="J1094" s="111"/>
    </row>
    <row r="1095" spans="10:10" ht="11.25" customHeight="1">
      <c r="J1095" s="111"/>
    </row>
    <row r="1096" spans="10:10" ht="11.25" customHeight="1">
      <c r="J1096" s="111"/>
    </row>
    <row r="1097" spans="10:10" ht="11.25" customHeight="1">
      <c r="J1097" s="111"/>
    </row>
    <row r="1098" spans="10:10" ht="11.25" customHeight="1">
      <c r="J1098" s="111"/>
    </row>
    <row r="1099" spans="10:10" ht="11.25" customHeight="1">
      <c r="J1099" s="111"/>
    </row>
    <row r="1100" spans="10:10" ht="11.25" customHeight="1">
      <c r="J1100" s="111"/>
    </row>
    <row r="1101" spans="10:10" ht="11.25" customHeight="1">
      <c r="J1101" s="111"/>
    </row>
    <row r="1102" spans="10:10" ht="11.25" customHeight="1">
      <c r="J1102" s="111"/>
    </row>
    <row r="1103" spans="10:10" ht="11.25" customHeight="1">
      <c r="J1103" s="111"/>
    </row>
    <row r="1104" spans="10:10" ht="11.25" customHeight="1">
      <c r="J1104" s="111"/>
    </row>
    <row r="1105" spans="10:10" ht="11.25" customHeight="1">
      <c r="J1105" s="111"/>
    </row>
    <row r="1106" spans="10:10" ht="11.25" customHeight="1">
      <c r="J1106" s="111"/>
    </row>
    <row r="1107" spans="10:10" ht="11.25" customHeight="1">
      <c r="J1107" s="111"/>
    </row>
    <row r="1108" spans="10:10" ht="11.25" customHeight="1">
      <c r="J1108" s="111"/>
    </row>
    <row r="1109" spans="10:10" ht="11.25" customHeight="1">
      <c r="J1109" s="111"/>
    </row>
    <row r="1110" spans="10:10" ht="11.25" customHeight="1">
      <c r="J1110" s="111"/>
    </row>
    <row r="1111" spans="10:10" ht="11.25" customHeight="1">
      <c r="J1111" s="111"/>
    </row>
    <row r="1112" spans="10:10" ht="11.25" customHeight="1">
      <c r="J1112" s="111"/>
    </row>
    <row r="1113" spans="10:10" ht="11.25" customHeight="1">
      <c r="J1113" s="111"/>
    </row>
    <row r="1114" spans="10:10" ht="11.25" customHeight="1">
      <c r="J1114" s="111"/>
    </row>
    <row r="1115" spans="10:10" ht="11.25" customHeight="1">
      <c r="J1115" s="111"/>
    </row>
    <row r="1116" spans="10:10" ht="11.25" customHeight="1">
      <c r="J1116" s="111"/>
    </row>
    <row r="1117" spans="10:10" ht="11.25" customHeight="1">
      <c r="J1117" s="111"/>
    </row>
    <row r="1118" spans="10:10" ht="11.25" customHeight="1">
      <c r="J1118" s="111"/>
    </row>
    <row r="1119" spans="10:10" ht="11.25" customHeight="1">
      <c r="J1119" s="111"/>
    </row>
    <row r="1120" spans="10:10" ht="11.25" customHeight="1">
      <c r="J1120" s="111"/>
    </row>
    <row r="1121" spans="10:10" ht="11.25" customHeight="1">
      <c r="J1121" s="111"/>
    </row>
    <row r="1122" spans="10:10" ht="11.25" customHeight="1">
      <c r="J1122" s="111"/>
    </row>
    <row r="1123" spans="10:10" ht="11.25" customHeight="1">
      <c r="J1123" s="111"/>
    </row>
    <row r="1124" spans="10:10" ht="11.25" customHeight="1">
      <c r="J1124" s="111"/>
    </row>
    <row r="1125" spans="10:10" ht="11.25" customHeight="1">
      <c r="J1125" s="111"/>
    </row>
    <row r="1126" spans="10:10" ht="11.25" customHeight="1">
      <c r="J1126" s="111"/>
    </row>
    <row r="1127" spans="10:10" ht="11.25" customHeight="1">
      <c r="J1127" s="111"/>
    </row>
    <row r="1128" spans="10:10" ht="11.25" customHeight="1">
      <c r="J1128" s="111"/>
    </row>
    <row r="1129" spans="10:10" ht="11.25" customHeight="1">
      <c r="J1129" s="111"/>
    </row>
    <row r="1130" spans="10:10" ht="11.25" customHeight="1">
      <c r="J1130" s="111"/>
    </row>
    <row r="1131" spans="10:10" ht="11.25" customHeight="1">
      <c r="J1131" s="111"/>
    </row>
    <row r="1132" spans="10:10" ht="11.25" customHeight="1">
      <c r="J1132" s="111"/>
    </row>
    <row r="1133" spans="10:10" ht="11.25" customHeight="1">
      <c r="J1133" s="111"/>
    </row>
    <row r="1134" spans="10:10" ht="11.25" customHeight="1">
      <c r="J1134" s="111"/>
    </row>
    <row r="1135" spans="10:10" ht="11.25" customHeight="1">
      <c r="J1135" s="111"/>
    </row>
    <row r="1136" spans="10:10" ht="11.25" customHeight="1">
      <c r="J1136" s="111"/>
    </row>
    <row r="1137" spans="10:10" ht="11.25" customHeight="1">
      <c r="J1137" s="111"/>
    </row>
    <row r="1138" spans="10:10" ht="11.25" customHeight="1">
      <c r="J1138" s="111"/>
    </row>
    <row r="1139" spans="10:10" ht="11.25" customHeight="1">
      <c r="J1139" s="111"/>
    </row>
    <row r="1140" spans="10:10" ht="11.25" customHeight="1">
      <c r="J1140" s="111"/>
    </row>
    <row r="1141" spans="10:10" ht="11.25" customHeight="1">
      <c r="J1141" s="111"/>
    </row>
    <row r="1142" spans="10:10" ht="11.25" customHeight="1">
      <c r="J1142" s="111"/>
    </row>
    <row r="1143" spans="10:10" ht="11.25" customHeight="1">
      <c r="J1143" s="111"/>
    </row>
    <row r="1144" spans="10:10" ht="11.25" customHeight="1">
      <c r="J1144" s="111"/>
    </row>
    <row r="1145" spans="10:10" ht="11.25" customHeight="1">
      <c r="J1145" s="111"/>
    </row>
    <row r="1146" spans="10:10" ht="11.25" customHeight="1">
      <c r="J1146" s="111"/>
    </row>
    <row r="1147" spans="10:10" ht="11.25" customHeight="1">
      <c r="J1147" s="111"/>
    </row>
    <row r="1148" spans="10:10" ht="11.25" customHeight="1">
      <c r="J1148" s="111"/>
    </row>
    <row r="1149" spans="10:10" ht="11.25" customHeight="1">
      <c r="J1149" s="111"/>
    </row>
    <row r="1150" spans="10:10" ht="11.25" customHeight="1">
      <c r="J1150" s="111"/>
    </row>
    <row r="1151" spans="10:10" ht="11.25" customHeight="1">
      <c r="J1151" s="111"/>
    </row>
    <row r="1152" spans="10:10" ht="11.25" customHeight="1">
      <c r="J1152" s="111"/>
    </row>
    <row r="1153" spans="10:10" ht="11.25" customHeight="1">
      <c r="J1153" s="111"/>
    </row>
    <row r="1154" spans="10:10" ht="11.25" customHeight="1">
      <c r="J1154" s="111"/>
    </row>
    <row r="1155" spans="10:10" ht="11.25" customHeight="1">
      <c r="J1155" s="111"/>
    </row>
    <row r="1156" spans="10:10" ht="11.25" customHeight="1">
      <c r="J1156" s="111"/>
    </row>
    <row r="1157" spans="10:10" ht="11.25" customHeight="1">
      <c r="J1157" s="111"/>
    </row>
    <row r="1158" spans="10:10" ht="11.25" customHeight="1">
      <c r="J1158" s="111"/>
    </row>
    <row r="1159" spans="10:10" ht="11.25" customHeight="1">
      <c r="J1159" s="111"/>
    </row>
    <row r="1160" spans="10:10" ht="11.25" customHeight="1">
      <c r="J1160" s="111"/>
    </row>
    <row r="1161" spans="10:10" ht="11.25" customHeight="1">
      <c r="J1161" s="111"/>
    </row>
    <row r="1162" spans="10:10" ht="11.25" customHeight="1">
      <c r="J1162" s="111"/>
    </row>
    <row r="1163" spans="10:10" ht="11.25" customHeight="1">
      <c r="J1163" s="111"/>
    </row>
    <row r="1164" spans="10:10" ht="11.25" customHeight="1">
      <c r="J1164" s="111"/>
    </row>
    <row r="1165" spans="10:10" ht="11.25" customHeight="1">
      <c r="J1165" s="111"/>
    </row>
    <row r="1166" spans="10:10" ht="11.25" customHeight="1">
      <c r="J1166" s="111"/>
    </row>
    <row r="1167" spans="10:10" ht="11.25" customHeight="1">
      <c r="J1167" s="111"/>
    </row>
    <row r="1168" spans="10:10" ht="11.25" customHeight="1">
      <c r="J1168" s="111"/>
    </row>
    <row r="1169" spans="10:10" ht="11.25" customHeight="1">
      <c r="J1169" s="111"/>
    </row>
    <row r="1170" spans="10:10" ht="11.25" customHeight="1">
      <c r="J1170" s="111"/>
    </row>
    <row r="1171" spans="10:10" ht="11.25" customHeight="1">
      <c r="J1171" s="111"/>
    </row>
    <row r="1172" spans="10:10" ht="11.25" customHeight="1">
      <c r="J1172" s="111"/>
    </row>
    <row r="1173" spans="10:10" ht="11.25" customHeight="1">
      <c r="J1173" s="111"/>
    </row>
    <row r="1174" spans="10:10" ht="11.25" customHeight="1">
      <c r="J1174" s="111"/>
    </row>
    <row r="1175" spans="10:10" ht="11.25" customHeight="1">
      <c r="J1175" s="111"/>
    </row>
    <row r="1176" spans="10:10" ht="11.25" customHeight="1">
      <c r="J1176" s="111"/>
    </row>
    <row r="1177" spans="10:10" ht="11.25" customHeight="1">
      <c r="J1177" s="111"/>
    </row>
    <row r="1178" spans="10:10" ht="11.25" customHeight="1">
      <c r="J1178" s="111"/>
    </row>
    <row r="1179" spans="10:10" ht="11.25" customHeight="1">
      <c r="J1179" s="111"/>
    </row>
    <row r="1180" spans="10:10" ht="11.25" customHeight="1">
      <c r="J1180" s="111"/>
    </row>
    <row r="1181" spans="10:10" ht="11.25" customHeight="1">
      <c r="J1181" s="111"/>
    </row>
    <row r="1182" spans="10:10" ht="11.25" customHeight="1">
      <c r="J1182" s="111"/>
    </row>
    <row r="1183" spans="10:10" ht="11.25" customHeight="1">
      <c r="J1183" s="111"/>
    </row>
    <row r="1184" spans="10:10" ht="11.25" customHeight="1">
      <c r="J1184" s="111"/>
    </row>
    <row r="1185" spans="10:10" ht="11.25" customHeight="1">
      <c r="J1185" s="111"/>
    </row>
    <row r="1186" spans="10:10" ht="11.25" customHeight="1">
      <c r="J1186" s="111"/>
    </row>
    <row r="1187" spans="10:10" ht="11.25" customHeight="1">
      <c r="J1187" s="111"/>
    </row>
    <row r="1188" spans="10:10" ht="11.25" customHeight="1">
      <c r="J1188" s="111"/>
    </row>
    <row r="1189" spans="10:10" ht="11.25" customHeight="1">
      <c r="J1189" s="111"/>
    </row>
    <row r="1190" spans="10:10" ht="11.25" customHeight="1">
      <c r="J1190" s="111"/>
    </row>
    <row r="1191" spans="10:10" ht="11.25" customHeight="1">
      <c r="J1191" s="111"/>
    </row>
    <row r="1192" spans="10:10" ht="11.25" customHeight="1">
      <c r="J1192" s="111"/>
    </row>
    <row r="1193" spans="10:10" ht="11.25" customHeight="1">
      <c r="J1193" s="111"/>
    </row>
    <row r="1194" spans="10:10" ht="11.25" customHeight="1">
      <c r="J1194" s="111"/>
    </row>
    <row r="1195" spans="10:10" ht="11.25" customHeight="1">
      <c r="J1195" s="111"/>
    </row>
    <row r="1196" spans="10:10" ht="11.25" customHeight="1">
      <c r="J1196" s="111"/>
    </row>
    <row r="1197" spans="10:10" ht="11.25" customHeight="1">
      <c r="J1197" s="111"/>
    </row>
    <row r="1198" spans="10:10" ht="11.25" customHeight="1">
      <c r="J1198" s="111"/>
    </row>
    <row r="1199" spans="10:10" ht="11.25" customHeight="1">
      <c r="J1199" s="111"/>
    </row>
    <row r="1200" spans="10:10" ht="11.25" customHeight="1">
      <c r="J1200" s="111"/>
    </row>
    <row r="1201" spans="10:10" ht="11.25" customHeight="1">
      <c r="J1201" s="111"/>
    </row>
    <row r="1202" spans="10:10" ht="11.25" customHeight="1">
      <c r="J1202" s="111"/>
    </row>
    <row r="1203" spans="10:10" ht="11.25" customHeight="1">
      <c r="J1203" s="111"/>
    </row>
    <row r="1204" spans="10:10" ht="11.25" customHeight="1">
      <c r="J1204" s="111"/>
    </row>
    <row r="1205" spans="10:10" ht="11.25" customHeight="1">
      <c r="J1205" s="111"/>
    </row>
    <row r="1206" spans="10:10" ht="11.25" customHeight="1">
      <c r="J1206" s="111"/>
    </row>
    <row r="1207" spans="10:10" ht="11.25" customHeight="1">
      <c r="J1207" s="111"/>
    </row>
    <row r="1208" spans="10:10" ht="11.25" customHeight="1">
      <c r="J1208" s="111"/>
    </row>
    <row r="1209" spans="10:10" ht="11.25" customHeight="1">
      <c r="J1209" s="111"/>
    </row>
    <row r="1210" spans="10:10" ht="11.25" customHeight="1">
      <c r="J1210" s="111"/>
    </row>
    <row r="1211" spans="10:10" ht="11.25" customHeight="1">
      <c r="J1211" s="111"/>
    </row>
    <row r="1212" spans="10:10" ht="11.25" customHeight="1">
      <c r="J1212" s="111"/>
    </row>
    <row r="1213" spans="10:10" ht="11.25" customHeight="1">
      <c r="J1213" s="111"/>
    </row>
    <row r="1214" spans="10:10" ht="11.25" customHeight="1">
      <c r="J1214" s="111"/>
    </row>
    <row r="1215" spans="10:10" ht="11.25" customHeight="1">
      <c r="J1215" s="111"/>
    </row>
    <row r="1216" spans="10:10" ht="11.25" customHeight="1">
      <c r="J1216" s="111"/>
    </row>
    <row r="1217" spans="10:10" ht="11.25" customHeight="1">
      <c r="J1217" s="111"/>
    </row>
    <row r="1218" spans="10:10" ht="11.25" customHeight="1">
      <c r="J1218" s="111"/>
    </row>
    <row r="1219" spans="10:10" ht="11.25" customHeight="1">
      <c r="J1219" s="111"/>
    </row>
    <row r="1220" spans="10:10" ht="11.25" customHeight="1">
      <c r="J1220" s="111"/>
    </row>
    <row r="1221" spans="10:10" ht="11.25" customHeight="1">
      <c r="J1221" s="111"/>
    </row>
    <row r="1222" spans="10:10" ht="11.25" customHeight="1">
      <c r="J1222" s="111"/>
    </row>
    <row r="1223" spans="10:10" ht="11.25" customHeight="1">
      <c r="J1223" s="111"/>
    </row>
    <row r="1224" spans="10:10" ht="11.25" customHeight="1">
      <c r="J1224" s="111"/>
    </row>
    <row r="1225" spans="10:10" ht="11.25" customHeight="1">
      <c r="J1225" s="111"/>
    </row>
    <row r="1226" spans="10:10" ht="11.25" customHeight="1">
      <c r="J1226" s="111"/>
    </row>
    <row r="1227" spans="10:10" ht="11.25" customHeight="1">
      <c r="J1227" s="111"/>
    </row>
    <row r="1228" spans="10:10" ht="11.25" customHeight="1">
      <c r="J1228" s="111"/>
    </row>
    <row r="1229" spans="10:10" ht="11.25" customHeight="1">
      <c r="J1229" s="111"/>
    </row>
    <row r="1230" spans="10:10" ht="11.25" customHeight="1">
      <c r="J1230" s="111"/>
    </row>
    <row r="1231" spans="10:10" ht="11.25" customHeight="1">
      <c r="J1231" s="111"/>
    </row>
    <row r="1232" spans="10:10" ht="11.25" customHeight="1">
      <c r="J1232" s="111"/>
    </row>
    <row r="1233" spans="10:10" ht="11.25" customHeight="1">
      <c r="J1233" s="111"/>
    </row>
    <row r="1234" spans="10:10" ht="11.25" customHeight="1">
      <c r="J1234" s="111"/>
    </row>
    <row r="1235" spans="10:10" ht="11.25" customHeight="1">
      <c r="J1235" s="111"/>
    </row>
    <row r="1236" spans="10:10" ht="11.25" customHeight="1">
      <c r="J1236" s="111"/>
    </row>
    <row r="1237" spans="10:10" ht="11.25" customHeight="1">
      <c r="J1237" s="111"/>
    </row>
    <row r="1238" spans="10:10" ht="11.25" customHeight="1">
      <c r="J1238" s="111"/>
    </row>
    <row r="1239" spans="10:10" ht="11.25" customHeight="1">
      <c r="J1239" s="111"/>
    </row>
    <row r="1240" spans="10:10" ht="11.25" customHeight="1">
      <c r="J1240" s="111"/>
    </row>
    <row r="1241" spans="10:10" ht="11.25" customHeight="1">
      <c r="J1241" s="111"/>
    </row>
    <row r="1242" spans="10:10" ht="11.25" customHeight="1">
      <c r="J1242" s="111"/>
    </row>
    <row r="1243" spans="10:10" ht="11.25" customHeight="1">
      <c r="J1243" s="111"/>
    </row>
    <row r="1244" spans="10:10" ht="11.25" customHeight="1">
      <c r="J1244" s="111"/>
    </row>
    <row r="1245" spans="10:10" ht="11.25" customHeight="1">
      <c r="J1245" s="111"/>
    </row>
    <row r="1246" spans="10:10" ht="11.25" customHeight="1">
      <c r="J1246" s="111"/>
    </row>
    <row r="1247" spans="10:10" ht="11.25" customHeight="1">
      <c r="J1247" s="111"/>
    </row>
    <row r="1248" spans="10:10" ht="11.25" customHeight="1">
      <c r="J1248" s="111"/>
    </row>
    <row r="1249" spans="10:10" ht="11.25" customHeight="1">
      <c r="J1249" s="111"/>
    </row>
    <row r="1250" spans="10:10" ht="11.25" customHeight="1">
      <c r="J1250" s="111"/>
    </row>
    <row r="1251" spans="10:10" ht="11.25" customHeight="1">
      <c r="J1251" s="111"/>
    </row>
    <row r="1252" spans="10:10" ht="11.25" customHeight="1">
      <c r="J1252" s="111"/>
    </row>
    <row r="1253" spans="10:10" ht="11.25" customHeight="1">
      <c r="J1253" s="111"/>
    </row>
    <row r="1254" spans="10:10" ht="11.25" customHeight="1">
      <c r="J1254" s="111"/>
    </row>
    <row r="1255" spans="10:10" ht="11.25" customHeight="1">
      <c r="J1255" s="111"/>
    </row>
    <row r="1256" spans="10:10" ht="11.25" customHeight="1">
      <c r="J1256" s="111"/>
    </row>
    <row r="1257" spans="10:10" ht="11.25" customHeight="1">
      <c r="J1257" s="111"/>
    </row>
    <row r="1258" spans="10:10" ht="11.25" customHeight="1">
      <c r="J1258" s="111"/>
    </row>
    <row r="1259" spans="10:10" ht="11.25" customHeight="1">
      <c r="J1259" s="111"/>
    </row>
    <row r="1260" spans="10:10" ht="11.25" customHeight="1">
      <c r="J1260" s="111"/>
    </row>
    <row r="1261" spans="10:10" ht="11.25" customHeight="1">
      <c r="J1261" s="111"/>
    </row>
    <row r="1262" spans="10:10" ht="11.25" customHeight="1">
      <c r="J1262" s="111"/>
    </row>
    <row r="1263" spans="10:10" ht="11.25" customHeight="1">
      <c r="J1263" s="111"/>
    </row>
    <row r="1264" spans="10:10" ht="11.25" customHeight="1">
      <c r="J1264" s="111"/>
    </row>
    <row r="1265" spans="10:10" ht="11.25" customHeight="1">
      <c r="J1265" s="111"/>
    </row>
    <row r="1266" spans="10:10" ht="11.25" customHeight="1">
      <c r="J1266" s="111"/>
    </row>
    <row r="1267" spans="10:10" ht="11.25" customHeight="1">
      <c r="J1267" s="111"/>
    </row>
    <row r="1268" spans="10:10" ht="11.25" customHeight="1">
      <c r="J1268" s="111"/>
    </row>
    <row r="1269" spans="10:10" ht="11.25" customHeight="1">
      <c r="J1269" s="111"/>
    </row>
    <row r="1270" spans="10:10" ht="11.25" customHeight="1">
      <c r="J1270" s="111"/>
    </row>
    <row r="1271" spans="10:10" ht="11.25" customHeight="1">
      <c r="J1271" s="111"/>
    </row>
    <row r="1272" spans="10:10" ht="11.25" customHeight="1">
      <c r="J1272" s="111"/>
    </row>
    <row r="1273" spans="10:10" ht="11.25" customHeight="1">
      <c r="J1273" s="111"/>
    </row>
    <row r="1274" spans="10:10" ht="11.25" customHeight="1">
      <c r="J1274" s="111"/>
    </row>
    <row r="1275" spans="10:10" ht="11.25" customHeight="1">
      <c r="J1275" s="111"/>
    </row>
    <row r="1276" spans="10:10" ht="11.25" customHeight="1">
      <c r="J1276" s="111"/>
    </row>
    <row r="1277" spans="10:10" ht="11.25" customHeight="1">
      <c r="J1277" s="111"/>
    </row>
    <row r="1278" spans="10:10" ht="11.25" customHeight="1">
      <c r="J1278" s="111"/>
    </row>
    <row r="1279" spans="10:10" ht="11.25" customHeight="1">
      <c r="J1279" s="111"/>
    </row>
    <row r="1280" spans="10:10" ht="11.25" customHeight="1">
      <c r="J1280" s="111"/>
    </row>
    <row r="1281" spans="10:10" ht="11.25" customHeight="1">
      <c r="J1281" s="111"/>
    </row>
    <row r="1282" spans="10:10" ht="11.25" customHeight="1">
      <c r="J1282" s="111"/>
    </row>
    <row r="1283" spans="10:10" ht="11.25" customHeight="1">
      <c r="J1283" s="111"/>
    </row>
    <row r="1284" spans="10:10" ht="11.25" customHeight="1">
      <c r="J1284" s="111"/>
    </row>
    <row r="1285" spans="10:10" ht="11.25" customHeight="1">
      <c r="J1285" s="111"/>
    </row>
    <row r="1286" spans="10:10" ht="11.25" customHeight="1">
      <c r="J1286" s="111"/>
    </row>
    <row r="1287" spans="10:10" ht="11.25" customHeight="1">
      <c r="J1287" s="111"/>
    </row>
    <row r="1288" spans="10:10" ht="11.25" customHeight="1">
      <c r="J1288" s="111"/>
    </row>
    <row r="1289" spans="10:10" ht="11.25" customHeight="1">
      <c r="J1289" s="111"/>
    </row>
    <row r="1290" spans="10:10" ht="11.25" customHeight="1">
      <c r="J1290" s="111"/>
    </row>
    <row r="1291" spans="10:10" ht="11.25" customHeight="1">
      <c r="J1291" s="111"/>
    </row>
    <row r="1292" spans="10:10" ht="11.25" customHeight="1">
      <c r="J1292" s="111"/>
    </row>
    <row r="1293" spans="10:10" ht="11.25" customHeight="1">
      <c r="J1293" s="111"/>
    </row>
    <row r="1294" spans="10:10" ht="11.25" customHeight="1">
      <c r="J1294" s="111"/>
    </row>
    <row r="1295" spans="10:10" ht="11.25" customHeight="1">
      <c r="J1295" s="111"/>
    </row>
    <row r="1296" spans="10:10" ht="11.25" customHeight="1">
      <c r="J1296" s="111"/>
    </row>
    <row r="1297" spans="10:10" ht="11.25" customHeight="1">
      <c r="J1297" s="111"/>
    </row>
    <row r="1298" spans="10:10" ht="11.25" customHeight="1">
      <c r="J1298" s="111"/>
    </row>
    <row r="1299" spans="10:10" ht="11.25" customHeight="1">
      <c r="J1299" s="111"/>
    </row>
    <row r="1300" spans="10:10" ht="11.25" customHeight="1">
      <c r="J1300" s="111"/>
    </row>
    <row r="1301" spans="10:10" ht="11.25" customHeight="1">
      <c r="J1301" s="111"/>
    </row>
    <row r="1302" spans="10:10" ht="11.25" customHeight="1">
      <c r="J1302" s="111"/>
    </row>
    <row r="1303" spans="10:10" ht="11.25" customHeight="1">
      <c r="J1303" s="111"/>
    </row>
    <row r="1304" spans="10:10" ht="11.25" customHeight="1">
      <c r="J1304" s="111"/>
    </row>
    <row r="1305" spans="10:10" ht="11.25" customHeight="1">
      <c r="J1305" s="111"/>
    </row>
    <row r="1306" spans="10:10" ht="11.25" customHeight="1">
      <c r="J1306" s="111"/>
    </row>
    <row r="1307" spans="10:10" ht="11.25" customHeight="1">
      <c r="J1307" s="111"/>
    </row>
    <row r="1308" spans="10:10" ht="11.25" customHeight="1">
      <c r="J1308" s="111"/>
    </row>
    <row r="1309" spans="10:10" ht="11.25" customHeight="1">
      <c r="J1309" s="111"/>
    </row>
    <row r="1310" spans="10:10" ht="11.25" customHeight="1">
      <c r="J1310" s="111"/>
    </row>
    <row r="1311" spans="10:10" ht="11.25" customHeight="1">
      <c r="J1311" s="111"/>
    </row>
    <row r="1312" spans="10:10" ht="11.25" customHeight="1">
      <c r="J1312" s="111"/>
    </row>
    <row r="1313" spans="10:10" ht="11.25" customHeight="1">
      <c r="J1313" s="111"/>
    </row>
    <row r="1314" spans="10:10" ht="11.25" customHeight="1">
      <c r="J1314" s="111"/>
    </row>
    <row r="1315" spans="10:10" ht="11.25" customHeight="1">
      <c r="J1315" s="111"/>
    </row>
    <row r="1316" spans="10:10" ht="11.25" customHeight="1">
      <c r="J1316" s="111"/>
    </row>
    <row r="1317" spans="10:10" ht="11.25" customHeight="1">
      <c r="J1317" s="111"/>
    </row>
    <row r="1318" spans="10:10" ht="11.25" customHeight="1">
      <c r="J1318" s="111"/>
    </row>
    <row r="1319" spans="10:10" ht="11.25" customHeight="1">
      <c r="J1319" s="111"/>
    </row>
    <row r="1320" spans="10:10" ht="11.25" customHeight="1">
      <c r="J1320" s="111"/>
    </row>
    <row r="1321" spans="10:10" ht="11.25" customHeight="1">
      <c r="J1321" s="111"/>
    </row>
    <row r="1322" spans="10:10" ht="11.25" customHeight="1">
      <c r="J1322" s="111"/>
    </row>
    <row r="1323" spans="10:10" ht="11.25" customHeight="1">
      <c r="J1323" s="111"/>
    </row>
    <row r="1324" spans="10:10" ht="11.25" customHeight="1">
      <c r="J1324" s="111"/>
    </row>
    <row r="1325" spans="10:10" ht="11.25" customHeight="1">
      <c r="J1325" s="111"/>
    </row>
    <row r="1326" spans="10:10" ht="11.25" customHeight="1">
      <c r="J1326" s="111"/>
    </row>
    <row r="1327" spans="10:10" ht="11.25" customHeight="1">
      <c r="J1327" s="111"/>
    </row>
    <row r="1328" spans="10:10" ht="11.25" customHeight="1">
      <c r="J1328" s="111"/>
    </row>
    <row r="1329" spans="10:10" ht="11.25" customHeight="1">
      <c r="J1329" s="111"/>
    </row>
    <row r="1330" spans="10:10" ht="11.25" customHeight="1">
      <c r="J1330" s="111"/>
    </row>
    <row r="1331" spans="10:10" ht="11.25" customHeight="1">
      <c r="J1331" s="111"/>
    </row>
    <row r="1332" spans="10:10" ht="11.25" customHeight="1">
      <c r="J1332" s="111"/>
    </row>
    <row r="1333" spans="10:10" ht="11.25" customHeight="1">
      <c r="J1333" s="111"/>
    </row>
    <row r="1334" spans="10:10" ht="11.25" customHeight="1">
      <c r="J1334" s="111"/>
    </row>
    <row r="1335" spans="10:10" ht="11.25" customHeight="1">
      <c r="J1335" s="111"/>
    </row>
    <row r="1336" spans="10:10" ht="11.25" customHeight="1">
      <c r="J1336" s="111"/>
    </row>
    <row r="1337" spans="10:10" ht="11.25" customHeight="1">
      <c r="J1337" s="111"/>
    </row>
    <row r="1338" spans="10:10" ht="11.25" customHeight="1">
      <c r="J1338" s="111"/>
    </row>
    <row r="1339" spans="10:10" ht="11.25" customHeight="1">
      <c r="J1339" s="111"/>
    </row>
    <row r="1340" spans="10:10" ht="11.25" customHeight="1">
      <c r="J1340" s="111"/>
    </row>
    <row r="1341" spans="10:10" ht="11.25" customHeight="1">
      <c r="J1341" s="111"/>
    </row>
    <row r="1342" spans="10:10" ht="11.25" customHeight="1">
      <c r="J1342" s="111"/>
    </row>
    <row r="1343" spans="10:10" ht="11.25" customHeight="1">
      <c r="J1343" s="111"/>
    </row>
    <row r="1344" spans="10:10" ht="11.25" customHeight="1">
      <c r="J1344" s="111"/>
    </row>
    <row r="1345" spans="10:10" ht="11.25" customHeight="1">
      <c r="J1345" s="111"/>
    </row>
    <row r="1346" spans="10:10" ht="11.25" customHeight="1">
      <c r="J1346" s="111"/>
    </row>
    <row r="1347" spans="10:10" ht="11.25" customHeight="1">
      <c r="J1347" s="111"/>
    </row>
    <row r="1348" spans="10:10" ht="11.25" customHeight="1">
      <c r="J1348" s="111"/>
    </row>
    <row r="1349" spans="10:10" ht="11.25" customHeight="1">
      <c r="J1349" s="111"/>
    </row>
    <row r="1350" spans="10:10" ht="11.25" customHeight="1">
      <c r="J1350" s="111"/>
    </row>
    <row r="1351" spans="10:10" ht="11.25" customHeight="1">
      <c r="J1351" s="111"/>
    </row>
    <row r="1352" spans="10:10" ht="11.25" customHeight="1">
      <c r="J1352" s="111"/>
    </row>
    <row r="1353" spans="10:10" ht="11.25" customHeight="1">
      <c r="J1353" s="111"/>
    </row>
    <row r="1354" spans="10:10" ht="11.25" customHeight="1">
      <c r="J1354" s="111"/>
    </row>
    <row r="1355" spans="10:10" ht="11.25" customHeight="1">
      <c r="J1355" s="111"/>
    </row>
    <row r="1356" spans="10:10" ht="11.25" customHeight="1">
      <c r="J1356" s="111"/>
    </row>
    <row r="1357" spans="10:10" ht="11.25" customHeight="1">
      <c r="J1357" s="111"/>
    </row>
    <row r="1358" spans="10:10" ht="11.25" customHeight="1">
      <c r="J1358" s="111"/>
    </row>
    <row r="1359" spans="10:10" ht="11.25" customHeight="1">
      <c r="J1359" s="111"/>
    </row>
    <row r="1360" spans="10:10" ht="11.25" customHeight="1">
      <c r="J1360" s="111"/>
    </row>
    <row r="1361" spans="10:10" ht="11.25" customHeight="1">
      <c r="J1361" s="111"/>
    </row>
    <row r="1362" spans="10:10" ht="11.25" customHeight="1">
      <c r="J1362" s="111"/>
    </row>
    <row r="1363" spans="10:10" ht="11.25" customHeight="1">
      <c r="J1363" s="111"/>
    </row>
    <row r="1364" spans="10:10" ht="11.25" customHeight="1">
      <c r="J1364" s="111"/>
    </row>
    <row r="1365" spans="10:10" ht="11.25" customHeight="1">
      <c r="J1365" s="111"/>
    </row>
    <row r="1366" spans="10:10" ht="11.25" customHeight="1">
      <c r="J1366" s="111"/>
    </row>
    <row r="1367" spans="10:10" ht="11.25" customHeight="1">
      <c r="J1367" s="111"/>
    </row>
    <row r="1368" spans="10:10" ht="11.25" customHeight="1">
      <c r="J1368" s="111"/>
    </row>
    <row r="1369" spans="10:10" ht="11.25" customHeight="1">
      <c r="J1369" s="111"/>
    </row>
    <row r="1370" spans="10:10" ht="11.25" customHeight="1">
      <c r="J1370" s="111"/>
    </row>
    <row r="1371" spans="10:10" ht="11.25" customHeight="1">
      <c r="J1371" s="111"/>
    </row>
    <row r="1372" spans="10:10" ht="11.25" customHeight="1">
      <c r="J1372" s="111"/>
    </row>
    <row r="1373" spans="10:10" ht="11.25" customHeight="1">
      <c r="J1373" s="111"/>
    </row>
    <row r="1374" spans="10:10" ht="11.25" customHeight="1">
      <c r="J1374" s="111"/>
    </row>
    <row r="1375" spans="10:10" ht="11.25" customHeight="1">
      <c r="J1375" s="111"/>
    </row>
    <row r="1376" spans="10:10" ht="11.25" customHeight="1">
      <c r="J1376" s="111"/>
    </row>
    <row r="1377" spans="10:10" ht="11.25" customHeight="1">
      <c r="J1377" s="111"/>
    </row>
    <row r="1378" spans="10:10" ht="11.25" customHeight="1">
      <c r="J1378" s="111"/>
    </row>
    <row r="1379" spans="10:10" ht="11.25" customHeight="1">
      <c r="J1379" s="111"/>
    </row>
    <row r="1380" spans="10:10" ht="11.25" customHeight="1">
      <c r="J1380" s="111"/>
    </row>
    <row r="1381" spans="10:10" ht="11.25" customHeight="1">
      <c r="J1381" s="111"/>
    </row>
    <row r="1382" spans="10:10" ht="11.25" customHeight="1">
      <c r="J1382" s="111"/>
    </row>
    <row r="1383" spans="10:10" ht="11.25" customHeight="1">
      <c r="J1383" s="111"/>
    </row>
    <row r="1384" spans="10:10" ht="11.25" customHeight="1">
      <c r="J1384" s="111"/>
    </row>
    <row r="1385" spans="10:10" ht="11.25" customHeight="1">
      <c r="J1385" s="111"/>
    </row>
    <row r="1386" spans="10:10" ht="11.25" customHeight="1">
      <c r="J1386" s="111"/>
    </row>
    <row r="1387" spans="10:10" ht="11.25" customHeight="1">
      <c r="J1387" s="111"/>
    </row>
    <row r="1388" spans="10:10" ht="11.25" customHeight="1">
      <c r="J1388" s="111"/>
    </row>
    <row r="1389" spans="10:10" ht="11.25" customHeight="1">
      <c r="J1389" s="111"/>
    </row>
    <row r="1390" spans="10:10" ht="11.25" customHeight="1">
      <c r="J1390" s="111"/>
    </row>
    <row r="1391" spans="10:10" ht="11.25" customHeight="1">
      <c r="J1391" s="111"/>
    </row>
    <row r="1392" spans="10:10" ht="11.25" customHeight="1">
      <c r="J1392" s="111"/>
    </row>
    <row r="1393" spans="10:10" ht="11.25" customHeight="1">
      <c r="J1393" s="111"/>
    </row>
    <row r="1394" spans="10:10" ht="11.25" customHeight="1">
      <c r="J1394" s="111"/>
    </row>
    <row r="1395" spans="10:10" ht="11.25" customHeight="1">
      <c r="J1395" s="111"/>
    </row>
    <row r="1396" spans="10:10" ht="11.25" customHeight="1">
      <c r="J1396" s="111"/>
    </row>
    <row r="1397" spans="10:10" ht="11.25" customHeight="1">
      <c r="J1397" s="111"/>
    </row>
    <row r="1398" spans="10:10" ht="11.25" customHeight="1">
      <c r="J1398" s="111"/>
    </row>
    <row r="1399" spans="10:10" ht="11.25" customHeight="1">
      <c r="J1399" s="111"/>
    </row>
    <row r="1400" spans="10:10" ht="11.25" customHeight="1">
      <c r="J1400" s="111"/>
    </row>
    <row r="1401" spans="10:10" ht="11.25" customHeight="1">
      <c r="J1401" s="111"/>
    </row>
    <row r="1402" spans="10:10" ht="11.25" customHeight="1">
      <c r="J1402" s="111"/>
    </row>
    <row r="1403" spans="10:10" ht="11.25" customHeight="1">
      <c r="J1403" s="111"/>
    </row>
    <row r="1404" spans="10:10" ht="11.25" customHeight="1">
      <c r="J1404" s="111"/>
    </row>
    <row r="1405" spans="10:10" ht="11.25" customHeight="1">
      <c r="J1405" s="111"/>
    </row>
    <row r="1406" spans="10:10" ht="11.25" customHeight="1">
      <c r="J1406" s="111"/>
    </row>
    <row r="1407" spans="10:10" ht="11.25" customHeight="1">
      <c r="J1407" s="111"/>
    </row>
    <row r="1408" spans="10:10" ht="11.25" customHeight="1">
      <c r="J1408" s="111"/>
    </row>
    <row r="1409" spans="10:10" ht="11.25" customHeight="1">
      <c r="J1409" s="111"/>
    </row>
    <row r="1410" spans="10:10" ht="11.25" customHeight="1">
      <c r="J1410" s="111"/>
    </row>
    <row r="1411" spans="10:10" ht="11.25" customHeight="1">
      <c r="J1411" s="111"/>
    </row>
    <row r="1412" spans="10:10" ht="11.25" customHeight="1">
      <c r="J1412" s="111"/>
    </row>
    <row r="1413" spans="10:10" ht="11.25" customHeight="1">
      <c r="J1413" s="111"/>
    </row>
    <row r="1414" spans="10:10" ht="11.25" customHeight="1">
      <c r="J1414" s="111"/>
    </row>
    <row r="1415" spans="10:10" ht="11.25" customHeight="1">
      <c r="J1415" s="111"/>
    </row>
    <row r="1416" spans="10:10" ht="11.25" customHeight="1">
      <c r="J1416" s="111"/>
    </row>
    <row r="1417" spans="10:10" ht="11.25" customHeight="1">
      <c r="J1417" s="111"/>
    </row>
    <row r="1418" spans="10:10" ht="11.25" customHeight="1">
      <c r="J1418" s="111"/>
    </row>
    <row r="1419" spans="10:10" ht="11.25" customHeight="1">
      <c r="J1419" s="111"/>
    </row>
    <row r="1420" spans="10:10" ht="11.25" customHeight="1">
      <c r="J1420" s="111"/>
    </row>
    <row r="1421" spans="10:10" ht="11.25" customHeight="1">
      <c r="J1421" s="111"/>
    </row>
    <row r="1422" spans="10:10" ht="11.25" customHeight="1">
      <c r="J1422" s="111"/>
    </row>
    <row r="1423" spans="10:10" ht="11.25" customHeight="1">
      <c r="J1423" s="111"/>
    </row>
    <row r="1424" spans="10:10" ht="11.25" customHeight="1">
      <c r="J1424" s="111"/>
    </row>
    <row r="1425" spans="10:10" ht="11.25" customHeight="1">
      <c r="J1425" s="111"/>
    </row>
    <row r="1426" spans="10:10" ht="11.25" customHeight="1">
      <c r="J1426" s="111"/>
    </row>
    <row r="1427" spans="10:10" ht="11.25" customHeight="1">
      <c r="J1427" s="111"/>
    </row>
    <row r="1428" spans="10:10" ht="11.25" customHeight="1">
      <c r="J1428" s="111"/>
    </row>
    <row r="1429" spans="10:10" ht="11.25" customHeight="1">
      <c r="J1429" s="111"/>
    </row>
    <row r="1430" spans="10:10" ht="11.25" customHeight="1">
      <c r="J1430" s="111"/>
    </row>
    <row r="1431" spans="10:10" ht="11.25" customHeight="1">
      <c r="J1431" s="111"/>
    </row>
    <row r="1432" spans="10:10" ht="11.25" customHeight="1">
      <c r="J1432" s="111"/>
    </row>
    <row r="1433" spans="10:10" ht="11.25" customHeight="1">
      <c r="J1433" s="111"/>
    </row>
    <row r="1434" spans="10:10" ht="11.25" customHeight="1">
      <c r="J1434" s="111"/>
    </row>
    <row r="1435" spans="10:10" ht="11.25" customHeight="1">
      <c r="J1435" s="111"/>
    </row>
    <row r="1436" spans="10:10" ht="11.25" customHeight="1">
      <c r="J1436" s="111"/>
    </row>
    <row r="1437" spans="10:10" ht="11.25" customHeight="1">
      <c r="J1437" s="111"/>
    </row>
    <row r="1438" spans="10:10" ht="11.25" customHeight="1">
      <c r="J1438" s="111"/>
    </row>
    <row r="1439" spans="10:10" ht="11.25" customHeight="1">
      <c r="J1439" s="111"/>
    </row>
    <row r="1440" spans="10:10" ht="11.25" customHeight="1">
      <c r="J1440" s="111"/>
    </row>
    <row r="1441" spans="10:10" ht="11.25" customHeight="1">
      <c r="J1441" s="111"/>
    </row>
    <row r="1442" spans="10:10" ht="11.25" customHeight="1">
      <c r="J1442" s="111"/>
    </row>
    <row r="1443" spans="10:10" ht="11.25" customHeight="1">
      <c r="J1443" s="111"/>
    </row>
    <row r="1444" spans="10:10" ht="11.25" customHeight="1">
      <c r="J1444" s="111"/>
    </row>
    <row r="1445" spans="10:10" ht="11.25" customHeight="1">
      <c r="J1445" s="111"/>
    </row>
    <row r="1446" spans="10:10" ht="11.25" customHeight="1">
      <c r="J1446" s="111"/>
    </row>
    <row r="1447" spans="10:10" ht="11.25" customHeight="1">
      <c r="J1447" s="111"/>
    </row>
    <row r="1448" spans="10:10" ht="11.25" customHeight="1">
      <c r="J1448" s="111"/>
    </row>
    <row r="1449" spans="10:10" ht="11.25" customHeight="1">
      <c r="J1449" s="111"/>
    </row>
    <row r="1450" spans="10:10" ht="11.25" customHeight="1">
      <c r="J1450" s="111"/>
    </row>
    <row r="1451" spans="10:10" ht="11.25" customHeight="1">
      <c r="J1451" s="111"/>
    </row>
    <row r="1452" spans="10:10" ht="11.25" customHeight="1">
      <c r="J1452" s="111"/>
    </row>
    <row r="1453" spans="10:10" ht="11.25" customHeight="1">
      <c r="J1453" s="111"/>
    </row>
    <row r="1454" spans="10:10" ht="11.25" customHeight="1">
      <c r="J1454" s="111"/>
    </row>
    <row r="1455" spans="10:10" ht="11.25" customHeight="1">
      <c r="J1455" s="111"/>
    </row>
    <row r="1456" spans="10:10" ht="11.25" customHeight="1">
      <c r="J1456" s="111"/>
    </row>
    <row r="1457" spans="10:10" ht="11.25" customHeight="1">
      <c r="J1457" s="111"/>
    </row>
    <row r="1458" spans="10:10" ht="11.25" customHeight="1">
      <c r="J1458" s="111"/>
    </row>
    <row r="1459" spans="10:10" ht="11.25" customHeight="1">
      <c r="J1459" s="111"/>
    </row>
    <row r="1460" spans="10:10" ht="11.25" customHeight="1">
      <c r="J1460" s="111"/>
    </row>
    <row r="1461" spans="10:10" ht="11.25" customHeight="1">
      <c r="J1461" s="111"/>
    </row>
    <row r="1462" spans="10:10" ht="11.25" customHeight="1">
      <c r="J1462" s="111"/>
    </row>
    <row r="1463" spans="10:10" ht="11.25" customHeight="1">
      <c r="J1463" s="111"/>
    </row>
    <row r="1464" spans="10:10" ht="11.25" customHeight="1">
      <c r="J1464" s="111"/>
    </row>
    <row r="1465" spans="10:10" ht="11.25" customHeight="1">
      <c r="J1465" s="111"/>
    </row>
    <row r="1466" spans="10:10" ht="11.25" customHeight="1">
      <c r="J1466" s="111"/>
    </row>
    <row r="1467" spans="10:10" ht="11.25" customHeight="1">
      <c r="J1467" s="111"/>
    </row>
    <row r="1468" spans="10:10" ht="11.25" customHeight="1">
      <c r="J1468" s="111"/>
    </row>
    <row r="1469" spans="10:10" ht="11.25" customHeight="1">
      <c r="J1469" s="111"/>
    </row>
    <row r="1470" spans="10:10" ht="11.25" customHeight="1">
      <c r="J1470" s="111"/>
    </row>
    <row r="1471" spans="10:10" ht="11.25" customHeight="1">
      <c r="J1471" s="111"/>
    </row>
    <row r="1472" spans="10:10" ht="11.25" customHeight="1">
      <c r="J1472" s="111"/>
    </row>
    <row r="1473" spans="10:10" ht="11.25" customHeight="1">
      <c r="J1473" s="111"/>
    </row>
    <row r="1474" spans="10:10" ht="11.25" customHeight="1">
      <c r="J1474" s="111"/>
    </row>
    <row r="1475" spans="10:10" ht="11.25" customHeight="1">
      <c r="J1475" s="111"/>
    </row>
    <row r="1476" spans="10:10" ht="11.25" customHeight="1">
      <c r="J1476" s="111"/>
    </row>
    <row r="1477" spans="10:10" ht="11.25" customHeight="1">
      <c r="J1477" s="111"/>
    </row>
    <row r="1478" spans="10:10" ht="11.25" customHeight="1">
      <c r="J1478" s="111"/>
    </row>
    <row r="1479" spans="10:10" ht="11.25" customHeight="1">
      <c r="J1479" s="111"/>
    </row>
    <row r="1480" spans="10:10" ht="11.25" customHeight="1">
      <c r="J1480" s="111"/>
    </row>
    <row r="1481" spans="10:10" ht="11.25" customHeight="1">
      <c r="J1481" s="111"/>
    </row>
    <row r="1482" spans="10:10" ht="11.25" customHeight="1">
      <c r="J1482" s="111"/>
    </row>
    <row r="1483" spans="10:10" ht="11.25" customHeight="1">
      <c r="J1483" s="111"/>
    </row>
    <row r="1484" spans="10:10" ht="11.25" customHeight="1">
      <c r="J1484" s="111"/>
    </row>
    <row r="1485" spans="10:10" ht="11.25" customHeight="1">
      <c r="J1485" s="111"/>
    </row>
    <row r="1486" spans="10:10" ht="11.25" customHeight="1">
      <c r="J1486" s="111"/>
    </row>
    <row r="1487" spans="10:10" ht="11.25" customHeight="1">
      <c r="J1487" s="111"/>
    </row>
    <row r="1488" spans="10:10" ht="11.25" customHeight="1">
      <c r="J1488" s="111"/>
    </row>
    <row r="1489" spans="10:10" ht="11.25" customHeight="1">
      <c r="J1489" s="111"/>
    </row>
    <row r="1490" spans="10:10" ht="11.25" customHeight="1">
      <c r="J1490" s="111"/>
    </row>
    <row r="1491" spans="10:10" ht="11.25" customHeight="1">
      <c r="J1491" s="111"/>
    </row>
    <row r="1492" spans="10:10" ht="11.25" customHeight="1">
      <c r="J1492" s="111"/>
    </row>
    <row r="1493" spans="10:10" ht="11.25" customHeight="1">
      <c r="J1493" s="111"/>
    </row>
    <row r="1494" spans="10:10" ht="11.25" customHeight="1">
      <c r="J1494" s="111"/>
    </row>
    <row r="1495" spans="10:10" ht="11.25" customHeight="1">
      <c r="J1495" s="111"/>
    </row>
    <row r="1496" spans="10:10" ht="11.25" customHeight="1">
      <c r="J1496" s="111"/>
    </row>
    <row r="1497" spans="10:10" ht="11.25" customHeight="1">
      <c r="J1497" s="111"/>
    </row>
    <row r="1498" spans="10:10" ht="11.25" customHeight="1">
      <c r="J1498" s="111"/>
    </row>
    <row r="1499" spans="10:10" ht="11.25" customHeight="1">
      <c r="J1499" s="111"/>
    </row>
    <row r="1500" spans="10:10" ht="11.25" customHeight="1">
      <c r="J1500" s="111"/>
    </row>
    <row r="1501" spans="10:10" ht="11.25" customHeight="1">
      <c r="J1501" s="111"/>
    </row>
    <row r="1502" spans="10:10" ht="11.25" customHeight="1">
      <c r="J1502" s="111"/>
    </row>
    <row r="1503" spans="10:10" ht="11.25" customHeight="1">
      <c r="J1503" s="111"/>
    </row>
    <row r="1504" spans="10:10" ht="11.25" customHeight="1">
      <c r="J1504" s="111"/>
    </row>
    <row r="1505" spans="10:10" ht="11.25" customHeight="1">
      <c r="J1505" s="111"/>
    </row>
    <row r="1506" spans="10:10" ht="11.25" customHeight="1">
      <c r="J1506" s="111"/>
    </row>
    <row r="1507" spans="10:10" ht="11.25" customHeight="1">
      <c r="J1507" s="111"/>
    </row>
    <row r="1508" spans="10:10" ht="11.25" customHeight="1">
      <c r="J1508" s="111"/>
    </row>
    <row r="1509" spans="10:10" ht="11.25" customHeight="1">
      <c r="J1509" s="111"/>
    </row>
    <row r="1510" spans="10:10" ht="11.25" customHeight="1">
      <c r="J1510" s="111"/>
    </row>
    <row r="1511" spans="10:10" ht="11.25" customHeight="1">
      <c r="J1511" s="111"/>
    </row>
    <row r="1512" spans="10:10" ht="11.25" customHeight="1">
      <c r="J1512" s="111"/>
    </row>
    <row r="1513" spans="10:10" ht="11.25" customHeight="1">
      <c r="J1513" s="111"/>
    </row>
    <row r="1514" spans="10:10" ht="11.25" customHeight="1">
      <c r="J1514" s="111"/>
    </row>
    <row r="1515" spans="10:10" ht="11.25" customHeight="1">
      <c r="J1515" s="111"/>
    </row>
    <row r="1516" spans="10:10" ht="11.25" customHeight="1">
      <c r="J1516" s="111"/>
    </row>
    <row r="1517" spans="10:10" ht="11.25" customHeight="1">
      <c r="J1517" s="111"/>
    </row>
    <row r="1518" spans="10:10" ht="11.25" customHeight="1">
      <c r="J1518" s="111"/>
    </row>
    <row r="1519" spans="10:10" ht="11.25" customHeight="1">
      <c r="J1519" s="111"/>
    </row>
    <row r="1520" spans="10:10" ht="11.25" customHeight="1">
      <c r="J1520" s="111"/>
    </row>
    <row r="1521" spans="10:10" ht="11.25" customHeight="1">
      <c r="J1521" s="111"/>
    </row>
    <row r="1522" spans="10:10" ht="11.25" customHeight="1">
      <c r="J1522" s="111"/>
    </row>
    <row r="1523" spans="10:10" ht="11.25" customHeight="1">
      <c r="J1523" s="111"/>
    </row>
    <row r="1524" spans="10:10" ht="11.25" customHeight="1">
      <c r="J1524" s="111"/>
    </row>
    <row r="1525" spans="10:10" ht="11.25" customHeight="1">
      <c r="J1525" s="111"/>
    </row>
    <row r="1526" spans="10:10" ht="11.25" customHeight="1">
      <c r="J1526" s="111"/>
    </row>
    <row r="1527" spans="10:10" ht="11.25" customHeight="1">
      <c r="J1527" s="111"/>
    </row>
    <row r="1528" spans="10:10" ht="11.25" customHeight="1">
      <c r="J1528" s="111"/>
    </row>
    <row r="1529" spans="10:10" ht="11.25" customHeight="1">
      <c r="J1529" s="111"/>
    </row>
    <row r="1530" spans="10:10" ht="11.25" customHeight="1">
      <c r="J1530" s="111"/>
    </row>
    <row r="1531" spans="10:10" ht="11.25" customHeight="1">
      <c r="J1531" s="111"/>
    </row>
    <row r="1532" spans="10:10" ht="11.25" customHeight="1">
      <c r="J1532" s="111"/>
    </row>
    <row r="1533" spans="10:10" ht="11.25" customHeight="1">
      <c r="J1533" s="111"/>
    </row>
    <row r="1534" spans="10:10" ht="11.25" customHeight="1">
      <c r="J1534" s="111"/>
    </row>
    <row r="1535" spans="10:10" ht="11.25" customHeight="1">
      <c r="J1535" s="111"/>
    </row>
    <row r="1536" spans="10:10" ht="11.25" customHeight="1">
      <c r="J1536" s="111"/>
    </row>
    <row r="1537" spans="10:10" ht="11.25" customHeight="1">
      <c r="J1537" s="111"/>
    </row>
    <row r="1538" spans="10:10" ht="11.25" customHeight="1">
      <c r="J1538" s="111"/>
    </row>
    <row r="1539" spans="10:10" ht="11.25" customHeight="1">
      <c r="J1539" s="111"/>
    </row>
    <row r="1540" spans="10:10" ht="11.25" customHeight="1">
      <c r="J1540" s="111"/>
    </row>
    <row r="1541" spans="10:10" ht="11.25" customHeight="1">
      <c r="J1541" s="111"/>
    </row>
    <row r="1542" spans="10:10" ht="11.25" customHeight="1">
      <c r="J1542" s="111"/>
    </row>
    <row r="1543" spans="10:10" ht="11.25" customHeight="1">
      <c r="J1543" s="111"/>
    </row>
    <row r="1544" spans="10:10" ht="11.25" customHeight="1">
      <c r="J1544" s="111"/>
    </row>
    <row r="1545" spans="10:10" ht="11.25" customHeight="1">
      <c r="J1545" s="111"/>
    </row>
    <row r="1546" spans="10:10" ht="11.25" customHeight="1">
      <c r="J1546" s="111"/>
    </row>
    <row r="1547" spans="10:10" ht="11.25" customHeight="1">
      <c r="J1547" s="111"/>
    </row>
    <row r="1548" spans="10:10" ht="11.25" customHeight="1">
      <c r="J1548" s="111"/>
    </row>
    <row r="1549" spans="10:10" ht="11.25" customHeight="1">
      <c r="J1549" s="111"/>
    </row>
    <row r="1550" spans="10:10" ht="11.25" customHeight="1">
      <c r="J1550" s="111"/>
    </row>
    <row r="1551" spans="10:10" ht="11.25" customHeight="1">
      <c r="J1551" s="111"/>
    </row>
    <row r="1552" spans="10:10" ht="11.25" customHeight="1">
      <c r="J1552" s="111"/>
    </row>
    <row r="1553" spans="10:10" ht="11.25" customHeight="1">
      <c r="J1553" s="111"/>
    </row>
    <row r="1554" spans="10:10" ht="11.25" customHeight="1">
      <c r="J1554" s="111"/>
    </row>
    <row r="1555" spans="10:10" ht="11.25" customHeight="1">
      <c r="J1555" s="111"/>
    </row>
  </sheetData>
  <mergeCells count="5">
    <mergeCell ref="K2:L2"/>
    <mergeCell ref="K1:L1"/>
    <mergeCell ref="K3:L3"/>
    <mergeCell ref="L4:M5"/>
    <mergeCell ref="K4:K5"/>
  </mergeCells>
  <dataValidations count="1">
    <dataValidation type="list" errorStyle="information" allowBlank="1" showInputMessage="1" showErrorMessage="1" errorTitle="DATO MANUAL" error="Incluir Dato Manualmente" sqref="E2:E18" xr:uid="{00000000-0002-0000-0900-000001000000}">
      <formula1>INDIRECT(B2)</formula1>
    </dataValidation>
  </dataValidations>
  <pageMargins left="0.7" right="0.7" top="0.75" bottom="0.75" header="0.3" footer="0.3"/>
  <pageSetup orientation="portrait" horizontalDpi="1200" verticalDpi="1200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84B3FA4F400E48AB8C6210EA56A6F3" ma:contentTypeVersion="13" ma:contentTypeDescription="Create a new document." ma:contentTypeScope="" ma:versionID="b551db10783ed4f95ea19f7e5d99acb0">
  <xsd:schema xmlns:xsd="http://www.w3.org/2001/XMLSchema" xmlns:xs="http://www.w3.org/2001/XMLSchema" xmlns:p="http://schemas.microsoft.com/office/2006/metadata/properties" xmlns:ns2="c404abdd-842c-4c13-b87d-9859a23f4f15" xmlns:ns3="176d2eb2-c088-4415-8234-9e873e22a315" targetNamespace="http://schemas.microsoft.com/office/2006/metadata/properties" ma:root="true" ma:fieldsID="eec88ab75e5330c695288173c75e1494" ns2:_="" ns3:_="">
    <xsd:import namespace="c404abdd-842c-4c13-b87d-9859a23f4f15"/>
    <xsd:import namespace="176d2eb2-c088-4415-8234-9e873e22a31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04abdd-842c-4c13-b87d-9859a23f4f1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6d2eb2-c088-4415-8234-9e873e22a31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1439D97-3857-4BAC-BDAB-1C814FFA7B94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c404abdd-842c-4c13-b87d-9859a23f4f15"/>
    <ds:schemaRef ds:uri="http://www.w3.org/XML/1998/namespace"/>
    <ds:schemaRef ds:uri="http://purl.org/dc/elements/1.1/"/>
    <ds:schemaRef ds:uri="http://purl.org/dc/terms/"/>
    <ds:schemaRef ds:uri="http://schemas.microsoft.com/office/2006/metadata/properties"/>
    <ds:schemaRef ds:uri="http://schemas.openxmlformats.org/package/2006/metadata/core-properties"/>
    <ds:schemaRef ds:uri="176d2eb2-c088-4415-8234-9e873e22a315"/>
  </ds:schemaRefs>
</ds:datastoreItem>
</file>

<file path=customXml/itemProps2.xml><?xml version="1.0" encoding="utf-8"?>
<ds:datastoreItem xmlns:ds="http://schemas.openxmlformats.org/officeDocument/2006/customXml" ds:itemID="{A8B8E622-6993-4603-814F-16CC13078A6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E83E669-C452-4068-8657-E2613D597C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04abdd-842c-4c13-b87d-9859a23f4f15"/>
    <ds:schemaRef ds:uri="176d2eb2-c088-4415-8234-9e873e22a31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INICIO</vt:lpstr>
      <vt:lpstr>IDENTIFICACIÓN</vt:lpstr>
      <vt:lpstr>PROCESOS PRODUCTIVOS</vt:lpstr>
      <vt:lpstr>CONSUMOS Y PRODUCCIÓN</vt:lpstr>
      <vt:lpstr>MATRIZ ENERGÉTICA</vt:lpstr>
      <vt:lpstr>Analisis Energeticos</vt:lpstr>
      <vt:lpstr>LINEA BASE </vt:lpstr>
      <vt:lpstr>INDICADORES E</vt:lpstr>
      <vt:lpstr>INVENTARIO ELÉCTRICO</vt:lpstr>
      <vt:lpstr>PARETO</vt:lpstr>
      <vt:lpstr>INVENTARIO TÉRMICO</vt:lpstr>
      <vt:lpstr>INVENTARIO VEHÍCULOS</vt:lpstr>
    </vt:vector>
  </TitlesOfParts>
  <Company>LEPL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Modelo PYMES</dc:title>
  <dc:creator>Luis Prieto</dc:creator>
  <dc:description>Modelo desarrollado por Luis Prieto</dc:description>
  <cp:lastModifiedBy>Maya Nancy (EXT)</cp:lastModifiedBy>
  <cp:lastPrinted>2010-02-10T03:39:35Z</cp:lastPrinted>
  <dcterms:created xsi:type="dcterms:W3CDTF">2010-02-10T01:55:53Z</dcterms:created>
  <dcterms:modified xsi:type="dcterms:W3CDTF">2022-06-21T22:12:57Z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0x0101003B84B3FA4F400E48AB8C6210EA56A6F3</vt:lpwstr>
  </property>
</Properties>
</file>